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 Brecha\Documents\Papers\FEW Nexus and EVs\"/>
    </mc:Choice>
  </mc:AlternateContent>
  <xr:revisionPtr revIDLastSave="0" documentId="8_{F151C056-59DB-4BEA-8E8E-180324CB6C00}" xr6:coauthVersionLast="47" xr6:coauthVersionMax="47" xr10:uidLastSave="{00000000-0000-0000-0000-000000000000}"/>
  <bookViews>
    <workbookView xWindow="61845" yWindow="2085" windowWidth="13050" windowHeight="8595" tabRatio="741" firstSheet="4" activeTab="7" xr2:uid="{3E22B0E1-9EC9-45BE-A079-E3775D78543D}"/>
  </bookViews>
  <sheets>
    <sheet name="main calculations" sheetId="1" r:id="rId1"/>
    <sheet name="ethanol" sheetId="9" r:id="rId2"/>
    <sheet name="photovoltaics" sheetId="10" r:id="rId3"/>
    <sheet name="irrigation" sheetId="3" r:id="rId4"/>
    <sheet name="fertilizer" sheetId="4" r:id="rId5"/>
    <sheet name="producer economics" sheetId="7" r:id="rId6"/>
    <sheet name="farmer economics" sheetId="8" r:id="rId7"/>
    <sheet name="jobs" sheetId="6" r:id="rId8"/>
    <sheet name="net energy" sheetId="5" r:id="rId9"/>
    <sheet name="data for plots" sheetId="2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11" i="1" l="1"/>
  <c r="BH12" i="1"/>
  <c r="BH13" i="1"/>
  <c r="BH14" i="1"/>
  <c r="BH15" i="1"/>
  <c r="G10" i="6" s="1"/>
  <c r="BH16" i="1"/>
  <c r="G11" i="6" s="1"/>
  <c r="BH17" i="1"/>
  <c r="G12" i="6" s="1"/>
  <c r="BH18" i="1"/>
  <c r="G13" i="6" s="1"/>
  <c r="BH19" i="1"/>
  <c r="BH20" i="1"/>
  <c r="BH21" i="1"/>
  <c r="BH22" i="1"/>
  <c r="BH23" i="1"/>
  <c r="G18" i="6" s="1"/>
  <c r="BH24" i="1"/>
  <c r="G19" i="6" s="1"/>
  <c r="BH25" i="1"/>
  <c r="G20" i="6" s="1"/>
  <c r="BH26" i="1"/>
  <c r="G21" i="6" s="1"/>
  <c r="BH27" i="1"/>
  <c r="BH28" i="1"/>
  <c r="BH29" i="1"/>
  <c r="BH30" i="1"/>
  <c r="BH31" i="1"/>
  <c r="G26" i="6" s="1"/>
  <c r="BH32" i="1"/>
  <c r="G27" i="6" s="1"/>
  <c r="BH33" i="1"/>
  <c r="G28" i="6" s="1"/>
  <c r="BH34" i="1"/>
  <c r="G29" i="6" s="1"/>
  <c r="BH35" i="1"/>
  <c r="BH36" i="1"/>
  <c r="BH37" i="1"/>
  <c r="BH38" i="1"/>
  <c r="BH39" i="1"/>
  <c r="G34" i="6" s="1"/>
  <c r="BH40" i="1"/>
  <c r="G35" i="6" s="1"/>
  <c r="BH41" i="1"/>
  <c r="G36" i="6" s="1"/>
  <c r="BH42" i="1"/>
  <c r="G37" i="6" s="1"/>
  <c r="BH43" i="1"/>
  <c r="BH44" i="1"/>
  <c r="BH45" i="1"/>
  <c r="BH46" i="1"/>
  <c r="BH47" i="1"/>
  <c r="G42" i="6" s="1"/>
  <c r="BH48" i="1"/>
  <c r="G43" i="6" s="1"/>
  <c r="BH49" i="1"/>
  <c r="G44" i="6" s="1"/>
  <c r="BH50" i="1"/>
  <c r="G45" i="6" s="1"/>
  <c r="BH10" i="1"/>
  <c r="G5" i="6" s="1"/>
  <c r="C6" i="6"/>
  <c r="D6" i="6"/>
  <c r="E6" i="6"/>
  <c r="F6" i="6"/>
  <c r="G6" i="6"/>
  <c r="C7" i="6"/>
  <c r="D7" i="6"/>
  <c r="E7" i="6"/>
  <c r="F7" i="6"/>
  <c r="G7" i="6"/>
  <c r="C8" i="6"/>
  <c r="D8" i="6"/>
  <c r="E8" i="6"/>
  <c r="F8" i="6"/>
  <c r="G8" i="6"/>
  <c r="C9" i="6"/>
  <c r="D9" i="6"/>
  <c r="E9" i="6"/>
  <c r="F9" i="6"/>
  <c r="G9" i="6"/>
  <c r="C10" i="6"/>
  <c r="D10" i="6"/>
  <c r="E10" i="6"/>
  <c r="F10" i="6"/>
  <c r="C11" i="6"/>
  <c r="D11" i="6"/>
  <c r="E11" i="6"/>
  <c r="F11" i="6"/>
  <c r="C12" i="6"/>
  <c r="D12" i="6"/>
  <c r="E12" i="6"/>
  <c r="F12" i="6"/>
  <c r="C13" i="6"/>
  <c r="D13" i="6"/>
  <c r="E13" i="6"/>
  <c r="F13" i="6"/>
  <c r="C14" i="6"/>
  <c r="D14" i="6"/>
  <c r="E14" i="6"/>
  <c r="F14" i="6"/>
  <c r="G14" i="6"/>
  <c r="C15" i="6"/>
  <c r="D15" i="6"/>
  <c r="E15" i="6"/>
  <c r="F15" i="6"/>
  <c r="G15" i="6"/>
  <c r="C16" i="6"/>
  <c r="D16" i="6"/>
  <c r="E16" i="6"/>
  <c r="F16" i="6"/>
  <c r="G16" i="6"/>
  <c r="C17" i="6"/>
  <c r="D17" i="6"/>
  <c r="E17" i="6"/>
  <c r="F17" i="6"/>
  <c r="G17" i="6"/>
  <c r="C18" i="6"/>
  <c r="D18" i="6"/>
  <c r="E18" i="6"/>
  <c r="F18" i="6"/>
  <c r="C19" i="6"/>
  <c r="D19" i="6"/>
  <c r="E19" i="6"/>
  <c r="F19" i="6"/>
  <c r="C20" i="6"/>
  <c r="D20" i="6"/>
  <c r="E20" i="6"/>
  <c r="F20" i="6"/>
  <c r="C21" i="6"/>
  <c r="D21" i="6"/>
  <c r="E21" i="6"/>
  <c r="F21" i="6"/>
  <c r="C22" i="6"/>
  <c r="D22" i="6"/>
  <c r="E22" i="6"/>
  <c r="F22" i="6"/>
  <c r="G22" i="6"/>
  <c r="C23" i="6"/>
  <c r="D23" i="6"/>
  <c r="E23" i="6"/>
  <c r="F23" i="6"/>
  <c r="G23" i="6"/>
  <c r="C24" i="6"/>
  <c r="D24" i="6"/>
  <c r="E24" i="6"/>
  <c r="F24" i="6"/>
  <c r="G24" i="6"/>
  <c r="C25" i="6"/>
  <c r="D25" i="6"/>
  <c r="E25" i="6"/>
  <c r="F25" i="6"/>
  <c r="G25" i="6"/>
  <c r="C26" i="6"/>
  <c r="D26" i="6"/>
  <c r="E26" i="6"/>
  <c r="F26" i="6"/>
  <c r="C27" i="6"/>
  <c r="D27" i="6"/>
  <c r="E27" i="6"/>
  <c r="F27" i="6"/>
  <c r="C28" i="6"/>
  <c r="D28" i="6"/>
  <c r="E28" i="6"/>
  <c r="F28" i="6"/>
  <c r="C29" i="6"/>
  <c r="D29" i="6"/>
  <c r="E29" i="6"/>
  <c r="F29" i="6"/>
  <c r="C30" i="6"/>
  <c r="D30" i="6"/>
  <c r="E30" i="6"/>
  <c r="F30" i="6"/>
  <c r="G30" i="6"/>
  <c r="C31" i="6"/>
  <c r="D31" i="6"/>
  <c r="E31" i="6"/>
  <c r="F31" i="6"/>
  <c r="G31" i="6"/>
  <c r="C32" i="6"/>
  <c r="D32" i="6"/>
  <c r="E32" i="6"/>
  <c r="F32" i="6"/>
  <c r="G32" i="6"/>
  <c r="C33" i="6"/>
  <c r="D33" i="6"/>
  <c r="E33" i="6"/>
  <c r="F33" i="6"/>
  <c r="G33" i="6"/>
  <c r="C34" i="6"/>
  <c r="D34" i="6"/>
  <c r="E34" i="6"/>
  <c r="F34" i="6"/>
  <c r="C35" i="6"/>
  <c r="D35" i="6"/>
  <c r="E35" i="6"/>
  <c r="F35" i="6"/>
  <c r="C36" i="6"/>
  <c r="D36" i="6"/>
  <c r="E36" i="6"/>
  <c r="F36" i="6"/>
  <c r="C37" i="6"/>
  <c r="D37" i="6"/>
  <c r="E37" i="6"/>
  <c r="F37" i="6"/>
  <c r="C38" i="6"/>
  <c r="D38" i="6"/>
  <c r="E38" i="6"/>
  <c r="F38" i="6"/>
  <c r="G38" i="6"/>
  <c r="C39" i="6"/>
  <c r="D39" i="6"/>
  <c r="E39" i="6"/>
  <c r="F39" i="6"/>
  <c r="G39" i="6"/>
  <c r="C40" i="6"/>
  <c r="D40" i="6"/>
  <c r="E40" i="6"/>
  <c r="F40" i="6"/>
  <c r="G40" i="6"/>
  <c r="C41" i="6"/>
  <c r="D41" i="6"/>
  <c r="E41" i="6"/>
  <c r="F41" i="6"/>
  <c r="G41" i="6"/>
  <c r="C42" i="6"/>
  <c r="D42" i="6"/>
  <c r="E42" i="6"/>
  <c r="F42" i="6"/>
  <c r="C43" i="6"/>
  <c r="D43" i="6"/>
  <c r="E43" i="6"/>
  <c r="F43" i="6"/>
  <c r="C44" i="6"/>
  <c r="D44" i="6"/>
  <c r="E44" i="6"/>
  <c r="F44" i="6"/>
  <c r="C45" i="6"/>
  <c r="D45" i="6"/>
  <c r="E45" i="6"/>
  <c r="F45" i="6"/>
  <c r="D5" i="6"/>
  <c r="E5" i="6"/>
  <c r="F5" i="6"/>
  <c r="C5" i="6"/>
  <c r="D4" i="6"/>
  <c r="E4" i="6"/>
  <c r="F4" i="6"/>
  <c r="G4" i="6"/>
  <c r="C4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5" i="6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2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5" i="8"/>
  <c r="D4" i="8"/>
  <c r="C4" i="8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10" i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5" i="8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19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5" i="7"/>
  <c r="D4" i="7"/>
  <c r="C4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5" i="7"/>
  <c r="F4" i="10" l="1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D20" i="4"/>
  <c r="E20" i="4"/>
  <c r="C20" i="4"/>
  <c r="D4" i="4"/>
  <c r="E4" i="4"/>
  <c r="C4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5" i="4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20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5" i="3"/>
  <c r="B4" i="3"/>
  <c r="C4" i="3"/>
  <c r="C18" i="10"/>
  <c r="D18" i="10"/>
  <c r="E18" i="10"/>
  <c r="F18" i="10"/>
  <c r="C19" i="10"/>
  <c r="D19" i="10"/>
  <c r="E19" i="10"/>
  <c r="F19" i="10"/>
  <c r="C20" i="10"/>
  <c r="D20" i="10"/>
  <c r="E20" i="10"/>
  <c r="F20" i="10"/>
  <c r="C21" i="10"/>
  <c r="D21" i="10"/>
  <c r="E21" i="10"/>
  <c r="F21" i="10"/>
  <c r="C22" i="10"/>
  <c r="D22" i="10"/>
  <c r="E22" i="10"/>
  <c r="F22" i="10"/>
  <c r="C23" i="10"/>
  <c r="D23" i="10"/>
  <c r="E23" i="10"/>
  <c r="F23" i="10"/>
  <c r="C24" i="10"/>
  <c r="D24" i="10"/>
  <c r="E24" i="10"/>
  <c r="F24" i="10"/>
  <c r="C25" i="10"/>
  <c r="D25" i="10"/>
  <c r="E25" i="10"/>
  <c r="F25" i="10"/>
  <c r="C26" i="10"/>
  <c r="D26" i="10"/>
  <c r="E26" i="10"/>
  <c r="F26" i="10"/>
  <c r="C27" i="10"/>
  <c r="D27" i="10"/>
  <c r="E27" i="10"/>
  <c r="F27" i="10"/>
  <c r="C28" i="10"/>
  <c r="D28" i="10"/>
  <c r="E28" i="10"/>
  <c r="F28" i="10"/>
  <c r="C29" i="10"/>
  <c r="D29" i="10"/>
  <c r="E29" i="10"/>
  <c r="F29" i="10"/>
  <c r="C30" i="10"/>
  <c r="D30" i="10"/>
  <c r="E30" i="10"/>
  <c r="F30" i="10"/>
  <c r="C31" i="10"/>
  <c r="D31" i="10"/>
  <c r="E31" i="10"/>
  <c r="F31" i="10"/>
  <c r="C32" i="10"/>
  <c r="D32" i="10"/>
  <c r="E32" i="10"/>
  <c r="F32" i="10"/>
  <c r="C33" i="10"/>
  <c r="D33" i="10"/>
  <c r="E33" i="10"/>
  <c r="F33" i="10"/>
  <c r="C34" i="10"/>
  <c r="D34" i="10"/>
  <c r="E34" i="10"/>
  <c r="F34" i="10"/>
  <c r="C35" i="10"/>
  <c r="D35" i="10"/>
  <c r="E35" i="10"/>
  <c r="F35" i="10"/>
  <c r="C36" i="10"/>
  <c r="D36" i="10"/>
  <c r="E36" i="10"/>
  <c r="F36" i="10"/>
  <c r="C37" i="10"/>
  <c r="D37" i="10"/>
  <c r="E37" i="10"/>
  <c r="F37" i="10"/>
  <c r="C38" i="10"/>
  <c r="D38" i="10"/>
  <c r="E38" i="10"/>
  <c r="F38" i="10"/>
  <c r="C39" i="10"/>
  <c r="D39" i="10"/>
  <c r="E39" i="10"/>
  <c r="F39" i="10"/>
  <c r="C40" i="10"/>
  <c r="D40" i="10"/>
  <c r="E40" i="10"/>
  <c r="F40" i="10"/>
  <c r="C41" i="10"/>
  <c r="D41" i="10"/>
  <c r="E41" i="10"/>
  <c r="F41" i="10"/>
  <c r="C42" i="10"/>
  <c r="D42" i="10"/>
  <c r="E42" i="10"/>
  <c r="F42" i="10"/>
  <c r="C43" i="10"/>
  <c r="D43" i="10"/>
  <c r="E43" i="10"/>
  <c r="F43" i="10"/>
  <c r="C44" i="10"/>
  <c r="D44" i="10"/>
  <c r="E44" i="10"/>
  <c r="F44" i="10"/>
  <c r="C45" i="10"/>
  <c r="D45" i="10"/>
  <c r="E45" i="10"/>
  <c r="F45" i="10"/>
  <c r="D4" i="10"/>
  <c r="E4" i="10"/>
  <c r="C4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5" i="10"/>
  <c r="H4" i="9"/>
  <c r="G4" i="9"/>
  <c r="E6" i="9"/>
  <c r="E7" i="9"/>
  <c r="E8" i="9"/>
  <c r="E9" i="9"/>
  <c r="E10" i="9"/>
  <c r="E11" i="9"/>
  <c r="E12" i="9"/>
  <c r="E13" i="9"/>
  <c r="E14" i="9"/>
  <c r="E15" i="9"/>
  <c r="E16" i="9"/>
  <c r="E17" i="9"/>
  <c r="E5" i="9"/>
  <c r="E4" i="9"/>
  <c r="D4" i="9"/>
  <c r="C4" i="9"/>
  <c r="B36" i="9"/>
  <c r="B37" i="9"/>
  <c r="B38" i="9"/>
  <c r="B39" i="9"/>
  <c r="B40" i="9"/>
  <c r="B41" i="9"/>
  <c r="B42" i="9"/>
  <c r="B43" i="9"/>
  <c r="B44" i="9"/>
  <c r="B45" i="9"/>
  <c r="B25" i="9"/>
  <c r="B26" i="9"/>
  <c r="B27" i="9"/>
  <c r="B28" i="9"/>
  <c r="B29" i="9"/>
  <c r="B30" i="9"/>
  <c r="B31" i="9"/>
  <c r="B32" i="9"/>
  <c r="B33" i="9"/>
  <c r="B34" i="9"/>
  <c r="B3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5" i="9"/>
  <c r="M7" i="1" l="1"/>
  <c r="O10" i="1"/>
  <c r="O11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10" i="1"/>
  <c r="L10" i="1" s="1"/>
  <c r="AU11" i="1"/>
  <c r="AU12" i="1"/>
  <c r="AU13" i="1"/>
  <c r="AU14" i="1"/>
  <c r="AU15" i="1"/>
  <c r="AU16" i="1"/>
  <c r="AU17" i="1"/>
  <c r="AU18" i="1"/>
  <c r="AU19" i="1"/>
  <c r="AU10" i="1"/>
  <c r="P11" i="1" l="1"/>
  <c r="O12" i="1"/>
  <c r="P10" i="1"/>
  <c r="X11" i="1"/>
  <c r="X12" i="1"/>
  <c r="X13" i="1"/>
  <c r="X14" i="1"/>
  <c r="X15" i="1"/>
  <c r="X16" i="1"/>
  <c r="X17" i="1"/>
  <c r="X18" i="1"/>
  <c r="X19" i="1"/>
  <c r="X20" i="1"/>
  <c r="X21" i="1"/>
  <c r="X22" i="1"/>
  <c r="X10" i="1"/>
  <c r="A49" i="5"/>
  <c r="A43" i="5"/>
  <c r="A44" i="5"/>
  <c r="A45" i="5"/>
  <c r="A46" i="5"/>
  <c r="A47" i="5"/>
  <c r="A4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8" i="5"/>
  <c r="B8" i="5"/>
  <c r="E20" i="1"/>
  <c r="E21" i="1"/>
  <c r="E16" i="1"/>
  <c r="E17" i="1"/>
  <c r="E18" i="1"/>
  <c r="E19" i="1"/>
  <c r="W1" i="2"/>
  <c r="T1" i="2"/>
  <c r="U21" i="1"/>
  <c r="U20" i="1"/>
  <c r="B20" i="1"/>
  <c r="B21" i="1" s="1"/>
  <c r="U19" i="1"/>
  <c r="J19" i="1"/>
  <c r="I19" i="1"/>
  <c r="H19" i="1"/>
  <c r="C19" i="1"/>
  <c r="U18" i="1"/>
  <c r="M18" i="1"/>
  <c r="J18" i="1"/>
  <c r="I18" i="1"/>
  <c r="H18" i="1"/>
  <c r="C18" i="1"/>
  <c r="D19" i="1" s="1"/>
  <c r="U17" i="1"/>
  <c r="J17" i="1"/>
  <c r="I17" i="1"/>
  <c r="H17" i="1"/>
  <c r="C17" i="1"/>
  <c r="D18" i="1" s="1"/>
  <c r="U16" i="1"/>
  <c r="J16" i="1"/>
  <c r="I16" i="1"/>
  <c r="H16" i="1"/>
  <c r="C16" i="1"/>
  <c r="D17" i="1" s="1"/>
  <c r="U15" i="1"/>
  <c r="J15" i="1"/>
  <c r="I15" i="1"/>
  <c r="H15" i="1"/>
  <c r="E15" i="1"/>
  <c r="C15" i="1"/>
  <c r="D16" i="1" s="1"/>
  <c r="U14" i="1"/>
  <c r="J14" i="1"/>
  <c r="I14" i="1"/>
  <c r="H14" i="1"/>
  <c r="E14" i="1"/>
  <c r="C14" i="1"/>
  <c r="D15" i="1" s="1"/>
  <c r="U13" i="1"/>
  <c r="J13" i="1"/>
  <c r="I13" i="1"/>
  <c r="H13" i="1"/>
  <c r="E13" i="1"/>
  <c r="C13" i="1"/>
  <c r="D14" i="1" s="1"/>
  <c r="U12" i="1"/>
  <c r="J12" i="1"/>
  <c r="I12" i="1"/>
  <c r="H12" i="1"/>
  <c r="E12" i="1"/>
  <c r="C12" i="1"/>
  <c r="U11" i="1"/>
  <c r="T11" i="1"/>
  <c r="D10" i="5" s="1"/>
  <c r="J11" i="1"/>
  <c r="I11" i="1"/>
  <c r="H11" i="1"/>
  <c r="E11" i="1"/>
  <c r="C11" i="1"/>
  <c r="D12" i="1" s="1"/>
  <c r="T10" i="1"/>
  <c r="D9" i="5" s="1"/>
  <c r="J10" i="1"/>
  <c r="I10" i="1"/>
  <c r="H10" i="1"/>
  <c r="E10" i="1"/>
  <c r="F10" i="1" s="1"/>
  <c r="C10" i="1"/>
  <c r="D11" i="1" s="1"/>
  <c r="V8" i="1"/>
  <c r="AS5" i="1"/>
  <c r="AP4" i="1"/>
  <c r="AO4" i="1"/>
  <c r="AN4" i="1"/>
  <c r="AK4" i="1"/>
  <c r="AK5" i="1" s="1"/>
  <c r="O13" i="1" l="1"/>
  <c r="P12" i="1"/>
  <c r="T12" i="1" s="1"/>
  <c r="D11" i="5" s="1"/>
  <c r="I20" i="1"/>
  <c r="Q14" i="1"/>
  <c r="R14" i="1" s="1"/>
  <c r="Q10" i="1"/>
  <c r="R10" i="1" s="1"/>
  <c r="Q13" i="1"/>
  <c r="R13" i="1" s="1"/>
  <c r="Q16" i="1"/>
  <c r="R16" i="1" s="1"/>
  <c r="Q12" i="1"/>
  <c r="R12" i="1" s="1"/>
  <c r="Q11" i="1"/>
  <c r="R11" i="1" s="1"/>
  <c r="Q15" i="1"/>
  <c r="R15" i="1" s="1"/>
  <c r="Q17" i="1"/>
  <c r="R17" i="1" s="1"/>
  <c r="Q19" i="1"/>
  <c r="R19" i="1" s="1"/>
  <c r="Q18" i="1"/>
  <c r="M17" i="1"/>
  <c r="N17" i="1" s="1"/>
  <c r="M13" i="1"/>
  <c r="N13" i="1" s="1"/>
  <c r="N18" i="1"/>
  <c r="M16" i="1"/>
  <c r="N16" i="1" s="1"/>
  <c r="M12" i="1"/>
  <c r="N12" i="1" s="1"/>
  <c r="M10" i="1"/>
  <c r="N10" i="1" s="1"/>
  <c r="M19" i="1"/>
  <c r="N19" i="1" s="1"/>
  <c r="M15" i="1"/>
  <c r="N15" i="1" s="1"/>
  <c r="M11" i="1"/>
  <c r="N11" i="1" s="1"/>
  <c r="M14" i="1"/>
  <c r="N14" i="1" s="1"/>
  <c r="C20" i="1"/>
  <c r="D21" i="1" s="1"/>
  <c r="F12" i="1"/>
  <c r="D13" i="1"/>
  <c r="F13" i="1" s="1"/>
  <c r="C21" i="1"/>
  <c r="B22" i="1"/>
  <c r="J21" i="1"/>
  <c r="I21" i="1"/>
  <c r="H21" i="1"/>
  <c r="R18" i="1"/>
  <c r="H20" i="1"/>
  <c r="D20" i="1"/>
  <c r="J20" i="1"/>
  <c r="F14" i="1"/>
  <c r="F11" i="1"/>
  <c r="F15" i="1"/>
  <c r="O14" i="1" l="1"/>
  <c r="P13" i="1"/>
  <c r="T13" i="1" s="1"/>
  <c r="D12" i="5" s="1"/>
  <c r="AC16" i="1"/>
  <c r="C11" i="9"/>
  <c r="AC11" i="1"/>
  <c r="C6" i="9"/>
  <c r="AC15" i="1"/>
  <c r="C10" i="9"/>
  <c r="AC12" i="1"/>
  <c r="C7" i="9"/>
  <c r="AC14" i="1"/>
  <c r="C9" i="9"/>
  <c r="AC17" i="1"/>
  <c r="C12" i="9"/>
  <c r="AC19" i="1"/>
  <c r="C14" i="9"/>
  <c r="AC18" i="1"/>
  <c r="C13" i="9"/>
  <c r="AC13" i="1"/>
  <c r="C8" i="9"/>
  <c r="AC10" i="1"/>
  <c r="C5" i="9"/>
  <c r="L20" i="1"/>
  <c r="Q20" i="1" s="1"/>
  <c r="R20" i="1" s="1"/>
  <c r="L21" i="1"/>
  <c r="Q21" i="1" s="1"/>
  <c r="R21" i="1" s="1"/>
  <c r="S13" i="1"/>
  <c r="D8" i="9" s="1"/>
  <c r="BD13" i="1"/>
  <c r="BE13" i="1"/>
  <c r="AS13" i="1"/>
  <c r="S14" i="1"/>
  <c r="AS14" i="1"/>
  <c r="BD14" i="1"/>
  <c r="BE14" i="1"/>
  <c r="S11" i="1"/>
  <c r="D6" i="9" s="1"/>
  <c r="AS11" i="1"/>
  <c r="BD11" i="1"/>
  <c r="BE11" i="1"/>
  <c r="S15" i="1"/>
  <c r="BE15" i="1"/>
  <c r="AS15" i="1"/>
  <c r="BD15" i="1"/>
  <c r="S19" i="1"/>
  <c r="D14" i="9" s="1"/>
  <c r="BE19" i="1"/>
  <c r="AS19" i="1"/>
  <c r="BD19" i="1"/>
  <c r="S12" i="1"/>
  <c r="AS12" i="1"/>
  <c r="BE12" i="1"/>
  <c r="BD12" i="1"/>
  <c r="S16" i="1"/>
  <c r="D11" i="9" s="1"/>
  <c r="AS16" i="1"/>
  <c r="BE16" i="1"/>
  <c r="BD16" i="1"/>
  <c r="BE18" i="1"/>
  <c r="AS18" i="1"/>
  <c r="BD18" i="1"/>
  <c r="S17" i="1"/>
  <c r="AS17" i="1"/>
  <c r="BD17" i="1"/>
  <c r="BE17" i="1"/>
  <c r="S10" i="1"/>
  <c r="AS10" i="1"/>
  <c r="BD10" i="1"/>
  <c r="BE10" i="1"/>
  <c r="S18" i="1"/>
  <c r="D13" i="9" s="1"/>
  <c r="C22" i="1"/>
  <c r="D22" i="1"/>
  <c r="B23" i="1"/>
  <c r="J22" i="1"/>
  <c r="B15" i="5"/>
  <c r="C15" i="5" s="1"/>
  <c r="F16" i="1"/>
  <c r="O15" i="1" l="1"/>
  <c r="P14" i="1"/>
  <c r="T14" i="1" s="1"/>
  <c r="D13" i="5" s="1"/>
  <c r="B10" i="5"/>
  <c r="C10" i="5" s="1"/>
  <c r="M21" i="1"/>
  <c r="N21" i="1" s="1"/>
  <c r="AD18" i="1"/>
  <c r="G13" i="9"/>
  <c r="AD12" i="1"/>
  <c r="H7" i="9" s="1"/>
  <c r="G7" i="9"/>
  <c r="B16" i="5"/>
  <c r="C16" i="5" s="1"/>
  <c r="D12" i="9"/>
  <c r="AD19" i="1"/>
  <c r="H14" i="9" s="1"/>
  <c r="G14" i="9"/>
  <c r="AD15" i="1"/>
  <c r="H10" i="9" s="1"/>
  <c r="G10" i="9"/>
  <c r="B9" i="5"/>
  <c r="C9" i="5" s="1"/>
  <c r="D5" i="9"/>
  <c r="B11" i="5"/>
  <c r="C11" i="5" s="1"/>
  <c r="D7" i="9"/>
  <c r="B14" i="5"/>
  <c r="C14" i="5" s="1"/>
  <c r="D10" i="9"/>
  <c r="B13" i="5"/>
  <c r="C13" i="5" s="1"/>
  <c r="D9" i="9"/>
  <c r="AD10" i="1"/>
  <c r="G5" i="9"/>
  <c r="AD17" i="1"/>
  <c r="G12" i="9"/>
  <c r="AD11" i="1"/>
  <c r="H6" i="9" s="1"/>
  <c r="G6" i="9"/>
  <c r="B12" i="5"/>
  <c r="C12" i="5" s="1"/>
  <c r="B18" i="5"/>
  <c r="C18" i="5" s="1"/>
  <c r="B17" i="5"/>
  <c r="C17" i="5" s="1"/>
  <c r="AD13" i="1"/>
  <c r="H8" i="9" s="1"/>
  <c r="G8" i="9"/>
  <c r="AD14" i="1"/>
  <c r="H9" i="9" s="1"/>
  <c r="G9" i="9"/>
  <c r="AD16" i="1"/>
  <c r="H11" i="9" s="1"/>
  <c r="G11" i="9"/>
  <c r="M20" i="1"/>
  <c r="N20" i="1" s="1"/>
  <c r="BD20" i="1" s="1"/>
  <c r="AC21" i="1"/>
  <c r="C16" i="9"/>
  <c r="S21" i="1"/>
  <c r="BE21" i="1"/>
  <c r="AS21" i="1"/>
  <c r="BD21" i="1"/>
  <c r="B24" i="1"/>
  <c r="J23" i="1"/>
  <c r="D23" i="1"/>
  <c r="C23" i="1"/>
  <c r="F17" i="1"/>
  <c r="AS20" i="1" l="1"/>
  <c r="BE20" i="1"/>
  <c r="S20" i="1"/>
  <c r="B19" i="5" s="1"/>
  <c r="C19" i="5" s="1"/>
  <c r="O16" i="1"/>
  <c r="P15" i="1"/>
  <c r="T15" i="1" s="1"/>
  <c r="D14" i="5" s="1"/>
  <c r="H12" i="9"/>
  <c r="H5" i="9"/>
  <c r="H13" i="9"/>
  <c r="B20" i="5"/>
  <c r="C20" i="5" s="1"/>
  <c r="D16" i="9"/>
  <c r="AD21" i="1"/>
  <c r="H16" i="9" s="1"/>
  <c r="G16" i="9"/>
  <c r="AC20" i="1"/>
  <c r="C15" i="9"/>
  <c r="C24" i="1"/>
  <c r="D24" i="1"/>
  <c r="B25" i="1"/>
  <c r="J24" i="1"/>
  <c r="F18" i="1"/>
  <c r="D15" i="9" l="1"/>
  <c r="O17" i="1"/>
  <c r="P16" i="1"/>
  <c r="T16" i="1" s="1"/>
  <c r="D15" i="5" s="1"/>
  <c r="AD20" i="1"/>
  <c r="G15" i="9"/>
  <c r="D25" i="1"/>
  <c r="B26" i="1"/>
  <c r="J25" i="1"/>
  <c r="C25" i="1"/>
  <c r="F19" i="1"/>
  <c r="O18" i="1" l="1"/>
  <c r="P17" i="1"/>
  <c r="T17" i="1" s="1"/>
  <c r="D16" i="5" s="1"/>
  <c r="H15" i="9"/>
  <c r="D26" i="1"/>
  <c r="B27" i="1"/>
  <c r="J26" i="1"/>
  <c r="C26" i="1"/>
  <c r="F20" i="1"/>
  <c r="O19" i="1" l="1"/>
  <c r="P18" i="1"/>
  <c r="T18" i="1" s="1"/>
  <c r="D17" i="5" s="1"/>
  <c r="C27" i="1"/>
  <c r="D27" i="1"/>
  <c r="B28" i="1"/>
  <c r="J27" i="1"/>
  <c r="E22" i="1"/>
  <c r="F21" i="1"/>
  <c r="O20" i="1" l="1"/>
  <c r="P19" i="1"/>
  <c r="T19" i="1" s="1"/>
  <c r="D18" i="5" s="1"/>
  <c r="J28" i="1"/>
  <c r="C28" i="1"/>
  <c r="D28" i="1"/>
  <c r="B29" i="1"/>
  <c r="G22" i="1"/>
  <c r="E23" i="1"/>
  <c r="F22" i="1"/>
  <c r="O21" i="1" l="1"/>
  <c r="P20" i="1"/>
  <c r="T20" i="1" s="1"/>
  <c r="D19" i="5" s="1"/>
  <c r="D29" i="1"/>
  <c r="B30" i="1"/>
  <c r="J29" i="1"/>
  <c r="C29" i="1"/>
  <c r="E24" i="1"/>
  <c r="F23" i="1"/>
  <c r="I22" i="1"/>
  <c r="G23" i="1"/>
  <c r="H22" i="1"/>
  <c r="U22" i="1"/>
  <c r="O22" i="1" l="1"/>
  <c r="P21" i="1"/>
  <c r="T21" i="1" s="1"/>
  <c r="D20" i="5" s="1"/>
  <c r="L22" i="1"/>
  <c r="Q22" i="1" s="1"/>
  <c r="R22" i="1" s="1"/>
  <c r="D30" i="1"/>
  <c r="B31" i="1"/>
  <c r="J30" i="1"/>
  <c r="C30" i="1"/>
  <c r="G24" i="1"/>
  <c r="H23" i="1"/>
  <c r="I23" i="1"/>
  <c r="E25" i="1"/>
  <c r="F24" i="1"/>
  <c r="O23" i="1" l="1"/>
  <c r="P22" i="1"/>
  <c r="T22" i="1" s="1"/>
  <c r="D21" i="5" s="1"/>
  <c r="M22" i="1"/>
  <c r="N22" i="1" s="1"/>
  <c r="S22" i="1" s="1"/>
  <c r="D17" i="9" s="1"/>
  <c r="L23" i="1"/>
  <c r="Q23" i="1" s="1"/>
  <c r="R23" i="1" s="1"/>
  <c r="AS22" i="1"/>
  <c r="BE22" i="1"/>
  <c r="BD22" i="1"/>
  <c r="M23" i="1"/>
  <c r="N23" i="1" s="1"/>
  <c r="C31" i="1"/>
  <c r="D31" i="1"/>
  <c r="B32" i="1"/>
  <c r="J31" i="1"/>
  <c r="F25" i="1"/>
  <c r="E26" i="1"/>
  <c r="G25" i="1"/>
  <c r="I24" i="1"/>
  <c r="H24" i="1"/>
  <c r="O24" i="1" l="1"/>
  <c r="P23" i="1"/>
  <c r="T23" i="1" s="1"/>
  <c r="D22" i="5" s="1"/>
  <c r="B21" i="5"/>
  <c r="C21" i="5" s="1"/>
  <c r="AC23" i="1"/>
  <c r="C18" i="9"/>
  <c r="L24" i="1"/>
  <c r="M24" i="1" s="1"/>
  <c r="N24" i="1" s="1"/>
  <c r="AC22" i="1"/>
  <c r="C17" i="9"/>
  <c r="S23" i="1"/>
  <c r="AS23" i="1"/>
  <c r="BE23" i="1"/>
  <c r="BD23" i="1"/>
  <c r="J32" i="1"/>
  <c r="C32" i="1"/>
  <c r="D32" i="1"/>
  <c r="B33" i="1"/>
  <c r="G26" i="1"/>
  <c r="H25" i="1"/>
  <c r="I25" i="1"/>
  <c r="E27" i="1"/>
  <c r="F26" i="1"/>
  <c r="O25" i="1" l="1"/>
  <c r="P24" i="1"/>
  <c r="T24" i="1" s="1"/>
  <c r="D23" i="5" s="1"/>
  <c r="Q24" i="1"/>
  <c r="R24" i="1" s="1"/>
  <c r="AC24" i="1"/>
  <c r="C19" i="9"/>
  <c r="B22" i="5"/>
  <c r="C22" i="5" s="1"/>
  <c r="D18" i="9"/>
  <c r="L25" i="1"/>
  <c r="Q25" i="1" s="1"/>
  <c r="R25" i="1" s="1"/>
  <c r="AD23" i="1"/>
  <c r="H18" i="9" s="1"/>
  <c r="G18" i="9"/>
  <c r="AD22" i="1"/>
  <c r="G17" i="9"/>
  <c r="S24" i="1"/>
  <c r="BD24" i="1"/>
  <c r="AS24" i="1"/>
  <c r="BE24" i="1"/>
  <c r="D33" i="1"/>
  <c r="B34" i="1"/>
  <c r="J33" i="1"/>
  <c r="C33" i="1"/>
  <c r="F27" i="1"/>
  <c r="E28" i="1"/>
  <c r="H26" i="1"/>
  <c r="G27" i="1"/>
  <c r="I26" i="1"/>
  <c r="O26" i="1" l="1"/>
  <c r="P25" i="1"/>
  <c r="T25" i="1" s="1"/>
  <c r="D24" i="5" s="1"/>
  <c r="F24" i="5" s="1"/>
  <c r="M25" i="1"/>
  <c r="N25" i="1" s="1"/>
  <c r="BD25" i="1" s="1"/>
  <c r="B23" i="5"/>
  <c r="C23" i="5" s="1"/>
  <c r="D19" i="9"/>
  <c r="L26" i="1"/>
  <c r="M26" i="1" s="1"/>
  <c r="N26" i="1" s="1"/>
  <c r="H17" i="9"/>
  <c r="AD24" i="1"/>
  <c r="H19" i="9" s="1"/>
  <c r="G19" i="9"/>
  <c r="S25" i="1"/>
  <c r="D20" i="9" s="1"/>
  <c r="BE25" i="1"/>
  <c r="AS25" i="1"/>
  <c r="D34" i="1"/>
  <c r="B35" i="1"/>
  <c r="J34" i="1"/>
  <c r="C34" i="1"/>
  <c r="G28" i="1"/>
  <c r="I27" i="1"/>
  <c r="H27" i="1"/>
  <c r="E29" i="1"/>
  <c r="F28" i="1"/>
  <c r="O27" i="1" l="1"/>
  <c r="P26" i="1"/>
  <c r="T26" i="1" s="1"/>
  <c r="D25" i="5" s="1"/>
  <c r="F25" i="5" s="1"/>
  <c r="C20" i="9"/>
  <c r="Q26" i="1"/>
  <c r="R26" i="1" s="1"/>
  <c r="AC25" i="1"/>
  <c r="AD25" i="1" s="1"/>
  <c r="H20" i="9" s="1"/>
  <c r="AC26" i="1"/>
  <c r="C21" i="9"/>
  <c r="L27" i="1"/>
  <c r="Q27" i="1" s="1"/>
  <c r="R27" i="1" s="1"/>
  <c r="B24" i="5"/>
  <c r="C24" i="5" s="1"/>
  <c r="S26" i="1"/>
  <c r="AS26" i="1"/>
  <c r="BE26" i="1"/>
  <c r="BD26" i="1"/>
  <c r="C35" i="1"/>
  <c r="D35" i="1"/>
  <c r="B36" i="1"/>
  <c r="J35" i="1"/>
  <c r="H28" i="1"/>
  <c r="I28" i="1"/>
  <c r="G29" i="1"/>
  <c r="F29" i="1"/>
  <c r="E30" i="1"/>
  <c r="F30" i="1" s="1"/>
  <c r="G20" i="9" l="1"/>
  <c r="M27" i="1"/>
  <c r="N27" i="1" s="1"/>
  <c r="O28" i="1"/>
  <c r="P27" i="1"/>
  <c r="T27" i="1" s="1"/>
  <c r="D26" i="5" s="1"/>
  <c r="F26" i="5" s="1"/>
  <c r="L28" i="1"/>
  <c r="Q28" i="1" s="1"/>
  <c r="R28" i="1" s="1"/>
  <c r="AC27" i="1"/>
  <c r="C22" i="9"/>
  <c r="AN25" i="1"/>
  <c r="AO25" i="1"/>
  <c r="AP25" i="1"/>
  <c r="B25" i="5"/>
  <c r="C25" i="5" s="1"/>
  <c r="D21" i="9"/>
  <c r="AD26" i="1"/>
  <c r="G21" i="9"/>
  <c r="S27" i="1"/>
  <c r="D22" i="9" s="1"/>
  <c r="AS27" i="1"/>
  <c r="BE27" i="1"/>
  <c r="BD27" i="1"/>
  <c r="AO26" i="1"/>
  <c r="AP26" i="1"/>
  <c r="AN26" i="1"/>
  <c r="J36" i="1"/>
  <c r="C36" i="1"/>
  <c r="D36" i="1"/>
  <c r="B37" i="1"/>
  <c r="AF26" i="1"/>
  <c r="E31" i="1"/>
  <c r="G30" i="1"/>
  <c r="I29" i="1"/>
  <c r="H29" i="1"/>
  <c r="M28" i="1" l="1"/>
  <c r="N28" i="1" s="1"/>
  <c r="O29" i="1"/>
  <c r="P28" i="1"/>
  <c r="T28" i="1" s="1"/>
  <c r="D27" i="5" s="1"/>
  <c r="F27" i="5" s="1"/>
  <c r="B26" i="5"/>
  <c r="C26" i="5" s="1"/>
  <c r="H21" i="9"/>
  <c r="AK26" i="1"/>
  <c r="AD27" i="1"/>
  <c r="AF27" i="1" s="1"/>
  <c r="G22" i="9"/>
  <c r="AC28" i="1"/>
  <c r="C23" i="9"/>
  <c r="L29" i="1"/>
  <c r="M29" i="1" s="1"/>
  <c r="N29" i="1" s="1"/>
  <c r="S28" i="1"/>
  <c r="BD28" i="1"/>
  <c r="AS28" i="1"/>
  <c r="BE28" i="1"/>
  <c r="AZ26" i="1"/>
  <c r="BA26" i="1"/>
  <c r="BB26" i="1"/>
  <c r="D37" i="1"/>
  <c r="B38" i="1"/>
  <c r="J37" i="1"/>
  <c r="C37" i="1"/>
  <c r="H30" i="1"/>
  <c r="I30" i="1"/>
  <c r="G31" i="1"/>
  <c r="F31" i="1"/>
  <c r="E32" i="1"/>
  <c r="AH26" i="1"/>
  <c r="BG26" i="1"/>
  <c r="AF25" i="1"/>
  <c r="AF24" i="1" s="1"/>
  <c r="O30" i="1" l="1"/>
  <c r="P29" i="1"/>
  <c r="T29" i="1" s="1"/>
  <c r="D28" i="5" s="1"/>
  <c r="F28" i="5" s="1"/>
  <c r="AN27" i="1"/>
  <c r="AO27" i="1"/>
  <c r="AP27" i="1"/>
  <c r="AC29" i="1"/>
  <c r="C24" i="9"/>
  <c r="Q29" i="1"/>
  <c r="R29" i="1" s="1"/>
  <c r="AD28" i="1"/>
  <c r="AO28" i="1" s="1"/>
  <c r="G23" i="9"/>
  <c r="H22" i="9"/>
  <c r="AK27" i="1"/>
  <c r="L30" i="1"/>
  <c r="Q30" i="1" s="1"/>
  <c r="R30" i="1" s="1"/>
  <c r="B27" i="5"/>
  <c r="C27" i="5" s="1"/>
  <c r="D23" i="9"/>
  <c r="AF23" i="1"/>
  <c r="AG24" i="1" s="1"/>
  <c r="BF24" i="1" s="1"/>
  <c r="AH24" i="1"/>
  <c r="AU24" i="1" s="1"/>
  <c r="BG24" i="1"/>
  <c r="S29" i="1"/>
  <c r="D24" i="9" s="1"/>
  <c r="BE29" i="1"/>
  <c r="BD29" i="1"/>
  <c r="AS29" i="1"/>
  <c r="E25" i="5"/>
  <c r="G25" i="5" s="1"/>
  <c r="AU26" i="1"/>
  <c r="BA27" i="1"/>
  <c r="BB27" i="1"/>
  <c r="AZ27" i="1"/>
  <c r="AG26" i="1"/>
  <c r="BF26" i="1" s="1"/>
  <c r="BB25" i="1"/>
  <c r="AZ25" i="1"/>
  <c r="BA25" i="1"/>
  <c r="D38" i="1"/>
  <c r="B39" i="1"/>
  <c r="J38" i="1"/>
  <c r="C38" i="1"/>
  <c r="AI26" i="1"/>
  <c r="G32" i="1"/>
  <c r="I31" i="1"/>
  <c r="H31" i="1"/>
  <c r="BG27" i="1"/>
  <c r="AG27" i="1"/>
  <c r="BF27" i="1" s="1"/>
  <c r="AH27" i="1"/>
  <c r="BG25" i="1"/>
  <c r="AG25" i="1"/>
  <c r="BF25" i="1" s="1"/>
  <c r="AH25" i="1"/>
  <c r="F32" i="1"/>
  <c r="E33" i="1"/>
  <c r="O31" i="1" l="1"/>
  <c r="P30" i="1"/>
  <c r="T30" i="1" s="1"/>
  <c r="D29" i="5" s="1"/>
  <c r="F29" i="5" s="1"/>
  <c r="AF28" i="1"/>
  <c r="AP28" i="1"/>
  <c r="M30" i="1"/>
  <c r="N30" i="1" s="1"/>
  <c r="AC30" i="1" s="1"/>
  <c r="H23" i="9"/>
  <c r="AK28" i="1"/>
  <c r="C25" i="9"/>
  <c r="B28" i="5"/>
  <c r="C28" i="5" s="1"/>
  <c r="L31" i="1"/>
  <c r="Q31" i="1" s="1"/>
  <c r="R31" i="1" s="1"/>
  <c r="AN28" i="1"/>
  <c r="AD29" i="1"/>
  <c r="G24" i="9"/>
  <c r="AH23" i="1"/>
  <c r="AU23" i="1" s="1"/>
  <c r="AF22" i="1"/>
  <c r="AG23" i="1" s="1"/>
  <c r="BF23" i="1" s="1"/>
  <c r="BG23" i="1"/>
  <c r="S30" i="1"/>
  <c r="AS30" i="1"/>
  <c r="BE30" i="1"/>
  <c r="BD30" i="1"/>
  <c r="E26" i="5"/>
  <c r="G26" i="5" s="1"/>
  <c r="AU27" i="1"/>
  <c r="E24" i="5"/>
  <c r="G24" i="5" s="1"/>
  <c r="AU25" i="1"/>
  <c r="BB28" i="1"/>
  <c r="AZ28" i="1"/>
  <c r="BA28" i="1"/>
  <c r="C39" i="1"/>
  <c r="D39" i="1"/>
  <c r="B40" i="1"/>
  <c r="J39" i="1"/>
  <c r="G33" i="1"/>
  <c r="H32" i="1"/>
  <c r="I32" i="1"/>
  <c r="AI25" i="1"/>
  <c r="E34" i="1"/>
  <c r="F33" i="1"/>
  <c r="AH28" i="1"/>
  <c r="BG28" i="1"/>
  <c r="AG28" i="1"/>
  <c r="BF28" i="1" s="1"/>
  <c r="AI27" i="1"/>
  <c r="AN29" i="1" l="1"/>
  <c r="AF29" i="1"/>
  <c r="AP29" i="1"/>
  <c r="AO29" i="1"/>
  <c r="O32" i="1"/>
  <c r="P31" i="1"/>
  <c r="T31" i="1" s="1"/>
  <c r="D30" i="5" s="1"/>
  <c r="F30" i="5" s="1"/>
  <c r="M31" i="1"/>
  <c r="N31" i="1" s="1"/>
  <c r="AC31" i="1" s="1"/>
  <c r="B29" i="5"/>
  <c r="C29" i="5" s="1"/>
  <c r="D25" i="9"/>
  <c r="L32" i="1"/>
  <c r="Q32" i="1" s="1"/>
  <c r="R32" i="1" s="1"/>
  <c r="AD30" i="1"/>
  <c r="AP30" i="1" s="1"/>
  <c r="G25" i="9"/>
  <c r="H24" i="9"/>
  <c r="AK29" i="1"/>
  <c r="AF21" i="1"/>
  <c r="AH22" i="1"/>
  <c r="AU22" i="1" s="1"/>
  <c r="BG22" i="1"/>
  <c r="BD31" i="1"/>
  <c r="E27" i="5"/>
  <c r="G27" i="5" s="1"/>
  <c r="AU28" i="1"/>
  <c r="AZ29" i="1"/>
  <c r="BA29" i="1"/>
  <c r="BB29" i="1"/>
  <c r="J40" i="1"/>
  <c r="C40" i="1"/>
  <c r="D40" i="1"/>
  <c r="B41" i="1"/>
  <c r="F34" i="1"/>
  <c r="E35" i="1"/>
  <c r="AI28" i="1"/>
  <c r="BG29" i="1"/>
  <c r="AG29" i="1"/>
  <c r="BF29" i="1" s="1"/>
  <c r="AH29" i="1"/>
  <c r="H33" i="1"/>
  <c r="I33" i="1"/>
  <c r="G34" i="1"/>
  <c r="BE31" i="1" l="1"/>
  <c r="S31" i="1"/>
  <c r="D26" i="9" s="1"/>
  <c r="AS31" i="1"/>
  <c r="C26" i="9"/>
  <c r="O33" i="1"/>
  <c r="P32" i="1"/>
  <c r="T32" i="1" s="1"/>
  <c r="D31" i="5" s="1"/>
  <c r="F31" i="5" s="1"/>
  <c r="AF30" i="1"/>
  <c r="AZ30" i="1" s="1"/>
  <c r="H25" i="9"/>
  <c r="AK30" i="1"/>
  <c r="L33" i="1"/>
  <c r="Q33" i="1" s="1"/>
  <c r="R33" i="1" s="1"/>
  <c r="B30" i="5"/>
  <c r="C30" i="5" s="1"/>
  <c r="AO30" i="1"/>
  <c r="M32" i="1"/>
  <c r="N32" i="1" s="1"/>
  <c r="BD32" i="1" s="1"/>
  <c r="AN30" i="1"/>
  <c r="AD31" i="1"/>
  <c r="G26" i="9"/>
  <c r="AG22" i="1"/>
  <c r="BF22" i="1" s="1"/>
  <c r="AF20" i="1"/>
  <c r="AH21" i="1"/>
  <c r="AU21" i="1" s="1"/>
  <c r="BG21" i="1"/>
  <c r="E28" i="5"/>
  <c r="G28" i="5" s="1"/>
  <c r="AU29" i="1"/>
  <c r="D41" i="1"/>
  <c r="B42" i="1"/>
  <c r="J41" i="1"/>
  <c r="C41" i="1"/>
  <c r="AP31" i="1"/>
  <c r="AN31" i="1"/>
  <c r="AO31" i="1"/>
  <c r="E36" i="1"/>
  <c r="F35" i="1"/>
  <c r="G35" i="1"/>
  <c r="I34" i="1"/>
  <c r="H34" i="1"/>
  <c r="AI29" i="1"/>
  <c r="AF31" i="1"/>
  <c r="AG30" i="1" l="1"/>
  <c r="BF30" i="1" s="1"/>
  <c r="AH30" i="1"/>
  <c r="BG30" i="1"/>
  <c r="BB30" i="1"/>
  <c r="BA30" i="1"/>
  <c r="O34" i="1"/>
  <c r="P33" i="1"/>
  <c r="T33" i="1" s="1"/>
  <c r="D32" i="5" s="1"/>
  <c r="F32" i="5" s="1"/>
  <c r="M33" i="1"/>
  <c r="N33" i="1" s="1"/>
  <c r="S33" i="1" s="1"/>
  <c r="S32" i="1"/>
  <c r="B31" i="5"/>
  <c r="C31" i="5" s="1"/>
  <c r="D27" i="9"/>
  <c r="AC32" i="1"/>
  <c r="C27" i="9"/>
  <c r="L34" i="1"/>
  <c r="Q34" i="1" s="1"/>
  <c r="R34" i="1" s="1"/>
  <c r="BE32" i="1"/>
  <c r="AS32" i="1"/>
  <c r="H26" i="9"/>
  <c r="AK31" i="1"/>
  <c r="AG21" i="1"/>
  <c r="BF21" i="1" s="1"/>
  <c r="AG20" i="1"/>
  <c r="BF20" i="1" s="1"/>
  <c r="AH20" i="1"/>
  <c r="AU20" i="1" s="1"/>
  <c r="BG20" i="1"/>
  <c r="E29" i="5"/>
  <c r="G29" i="5" s="1"/>
  <c r="AU30" i="1"/>
  <c r="BA31" i="1"/>
  <c r="BB31" i="1"/>
  <c r="AZ31" i="1"/>
  <c r="D42" i="1"/>
  <c r="B43" i="1"/>
  <c r="J42" i="1"/>
  <c r="C42" i="1"/>
  <c r="F36" i="1"/>
  <c r="E37" i="1"/>
  <c r="H35" i="1"/>
  <c r="G36" i="1"/>
  <c r="I35" i="1"/>
  <c r="BG31" i="1"/>
  <c r="AG31" i="1"/>
  <c r="BF31" i="1" s="1"/>
  <c r="AH31" i="1"/>
  <c r="AI30" i="1"/>
  <c r="AC33" i="1" l="1"/>
  <c r="AS33" i="1"/>
  <c r="C28" i="9"/>
  <c r="BD33" i="1"/>
  <c r="BE33" i="1"/>
  <c r="O35" i="1"/>
  <c r="P34" i="1"/>
  <c r="T34" i="1" s="1"/>
  <c r="D33" i="5" s="1"/>
  <c r="F33" i="5" s="1"/>
  <c r="M34" i="1"/>
  <c r="N34" i="1" s="1"/>
  <c r="S34" i="1" s="1"/>
  <c r="AD33" i="1"/>
  <c r="G28" i="9"/>
  <c r="L35" i="1"/>
  <c r="M35" i="1" s="1"/>
  <c r="N35" i="1" s="1"/>
  <c r="AD32" i="1"/>
  <c r="G27" i="9"/>
  <c r="B32" i="5"/>
  <c r="C32" i="5" s="1"/>
  <c r="D28" i="9"/>
  <c r="E30" i="5"/>
  <c r="G30" i="5" s="1"/>
  <c r="AU31" i="1"/>
  <c r="AO33" i="1"/>
  <c r="AP33" i="1"/>
  <c r="AN33" i="1"/>
  <c r="C43" i="1"/>
  <c r="D43" i="1"/>
  <c r="B44" i="1"/>
  <c r="J43" i="1"/>
  <c r="AF33" i="1"/>
  <c r="E38" i="1"/>
  <c r="F37" i="1"/>
  <c r="AI31" i="1"/>
  <c r="G37" i="1"/>
  <c r="I36" i="1"/>
  <c r="H36" i="1"/>
  <c r="BD34" i="1" l="1"/>
  <c r="BE34" i="1"/>
  <c r="AS34" i="1"/>
  <c r="O36" i="1"/>
  <c r="P35" i="1"/>
  <c r="T35" i="1" s="1"/>
  <c r="D34" i="5" s="1"/>
  <c r="F34" i="5" s="1"/>
  <c r="AC35" i="1"/>
  <c r="C30" i="9"/>
  <c r="H27" i="9"/>
  <c r="AK32" i="1"/>
  <c r="AP32" i="1"/>
  <c r="AO32" i="1"/>
  <c r="AN32" i="1"/>
  <c r="AF32" i="1"/>
  <c r="AG33" i="1" s="1"/>
  <c r="BF33" i="1" s="1"/>
  <c r="Q35" i="1"/>
  <c r="R35" i="1" s="1"/>
  <c r="B33" i="5"/>
  <c r="C33" i="5" s="1"/>
  <c r="D29" i="9"/>
  <c r="L36" i="1"/>
  <c r="M36" i="1" s="1"/>
  <c r="N36" i="1" s="1"/>
  <c r="H28" i="9"/>
  <c r="AK33" i="1"/>
  <c r="AC34" i="1"/>
  <c r="C29" i="9"/>
  <c r="S35" i="1"/>
  <c r="D30" i="9" s="1"/>
  <c r="AS35" i="1"/>
  <c r="BE35" i="1"/>
  <c r="BD35" i="1"/>
  <c r="AZ33" i="1"/>
  <c r="BA33" i="1"/>
  <c r="BB33" i="1"/>
  <c r="J44" i="1"/>
  <c r="C44" i="1"/>
  <c r="D44" i="1"/>
  <c r="B45" i="1"/>
  <c r="F38" i="1"/>
  <c r="E39" i="1"/>
  <c r="AH33" i="1"/>
  <c r="BG33" i="1"/>
  <c r="H37" i="1"/>
  <c r="G38" i="1"/>
  <c r="I37" i="1"/>
  <c r="B34" i="5" l="1"/>
  <c r="C34" i="5" s="1"/>
  <c r="O37" i="1"/>
  <c r="P36" i="1"/>
  <c r="T36" i="1" s="1"/>
  <c r="D35" i="5" s="1"/>
  <c r="F35" i="5" s="1"/>
  <c r="Q36" i="1"/>
  <c r="R36" i="1" s="1"/>
  <c r="AC36" i="1"/>
  <c r="C31" i="9"/>
  <c r="AD34" i="1"/>
  <c r="G29" i="9"/>
  <c r="BA32" i="1"/>
  <c r="AH32" i="1"/>
  <c r="AG32" i="1"/>
  <c r="BF32" i="1" s="1"/>
  <c r="BB32" i="1"/>
  <c r="BG32" i="1"/>
  <c r="AZ32" i="1"/>
  <c r="L37" i="1"/>
  <c r="Q37" i="1" s="1"/>
  <c r="R37" i="1" s="1"/>
  <c r="AD35" i="1"/>
  <c r="AP35" i="1" s="1"/>
  <c r="G30" i="9"/>
  <c r="S36" i="1"/>
  <c r="D31" i="9" s="1"/>
  <c r="BD36" i="1"/>
  <c r="AS36" i="1"/>
  <c r="BE36" i="1"/>
  <c r="E32" i="5"/>
  <c r="G32" i="5" s="1"/>
  <c r="AU33" i="1"/>
  <c r="D45" i="1"/>
  <c r="B46" i="1"/>
  <c r="J45" i="1"/>
  <c r="C45" i="1"/>
  <c r="E40" i="1"/>
  <c r="F39" i="1"/>
  <c r="AI33" i="1"/>
  <c r="G39" i="1"/>
  <c r="I38" i="1"/>
  <c r="H38" i="1"/>
  <c r="O38" i="1" l="1"/>
  <c r="P37" i="1"/>
  <c r="T37" i="1" s="1"/>
  <c r="D36" i="5" s="1"/>
  <c r="F36" i="5" s="1"/>
  <c r="M37" i="1"/>
  <c r="N37" i="1" s="1"/>
  <c r="AN35" i="1"/>
  <c r="L38" i="1"/>
  <c r="Q38" i="1" s="1"/>
  <c r="R38" i="1" s="1"/>
  <c r="H30" i="9"/>
  <c r="AK35" i="1"/>
  <c r="B35" i="5"/>
  <c r="C35" i="5" s="1"/>
  <c r="AF35" i="1"/>
  <c r="BB35" i="1" s="1"/>
  <c r="H29" i="9"/>
  <c r="AK34" i="1"/>
  <c r="AO34" i="1"/>
  <c r="AP34" i="1"/>
  <c r="AN34" i="1"/>
  <c r="AF34" i="1"/>
  <c r="AC37" i="1"/>
  <c r="C32" i="9"/>
  <c r="AU32" i="1"/>
  <c r="AI32" i="1"/>
  <c r="E31" i="5"/>
  <c r="G31" i="5" s="1"/>
  <c r="AO35" i="1"/>
  <c r="AD36" i="1"/>
  <c r="AF36" i="1" s="1"/>
  <c r="G31" i="9"/>
  <c r="S37" i="1"/>
  <c r="D32" i="9" s="1"/>
  <c r="BE37" i="1"/>
  <c r="BD37" i="1"/>
  <c r="AS37" i="1"/>
  <c r="D46" i="1"/>
  <c r="B47" i="1"/>
  <c r="J46" i="1"/>
  <c r="C46" i="1"/>
  <c r="H39" i="1"/>
  <c r="I39" i="1"/>
  <c r="G40" i="1"/>
  <c r="F40" i="1"/>
  <c r="E41" i="1"/>
  <c r="O39" i="1" l="1"/>
  <c r="P38" i="1"/>
  <c r="T38" i="1" s="1"/>
  <c r="D37" i="5" s="1"/>
  <c r="F37" i="5" s="1"/>
  <c r="M38" i="1"/>
  <c r="N38" i="1" s="1"/>
  <c r="BA35" i="1"/>
  <c r="AO36" i="1"/>
  <c r="B36" i="5"/>
  <c r="C36" i="5" s="1"/>
  <c r="AD37" i="1"/>
  <c r="G32" i="9"/>
  <c r="H31" i="9"/>
  <c r="AK36" i="1"/>
  <c r="BA34" i="1"/>
  <c r="BG34" i="1"/>
  <c r="AH34" i="1"/>
  <c r="BB34" i="1"/>
  <c r="AG34" i="1"/>
  <c r="BF34" i="1" s="1"/>
  <c r="AZ34" i="1"/>
  <c r="AC38" i="1"/>
  <c r="C33" i="9"/>
  <c r="AG35" i="1"/>
  <c r="BF35" i="1" s="1"/>
  <c r="AP36" i="1"/>
  <c r="BG35" i="1"/>
  <c r="L39" i="1"/>
  <c r="Q39" i="1" s="1"/>
  <c r="R39" i="1" s="1"/>
  <c r="AH35" i="1"/>
  <c r="AI35" i="1" s="1"/>
  <c r="AN36" i="1"/>
  <c r="AZ35" i="1"/>
  <c r="S38" i="1"/>
  <c r="D33" i="9" s="1"/>
  <c r="AS38" i="1"/>
  <c r="BE38" i="1"/>
  <c r="BD38" i="1"/>
  <c r="E34" i="5"/>
  <c r="G34" i="5" s="1"/>
  <c r="BB36" i="1"/>
  <c r="AZ36" i="1"/>
  <c r="BA36" i="1"/>
  <c r="C47" i="1"/>
  <c r="D47" i="1"/>
  <c r="B48" i="1"/>
  <c r="J47" i="1"/>
  <c r="BG36" i="1"/>
  <c r="AG36" i="1"/>
  <c r="BF36" i="1" s="1"/>
  <c r="AH36" i="1"/>
  <c r="F41" i="1"/>
  <c r="E42" i="1"/>
  <c r="I40" i="1"/>
  <c r="H40" i="1"/>
  <c r="G41" i="1"/>
  <c r="B37" i="5"/>
  <c r="C37" i="5" s="1"/>
  <c r="M39" i="1" l="1"/>
  <c r="N39" i="1" s="1"/>
  <c r="O40" i="1"/>
  <c r="P39" i="1"/>
  <c r="T39" i="1" s="1"/>
  <c r="D38" i="5" s="1"/>
  <c r="F38" i="5" s="1"/>
  <c r="AF37" i="1"/>
  <c r="AH37" i="1" s="1"/>
  <c r="AO37" i="1"/>
  <c r="AN37" i="1"/>
  <c r="AP37" i="1"/>
  <c r="AU35" i="1"/>
  <c r="E33" i="5"/>
  <c r="G33" i="5" s="1"/>
  <c r="AU34" i="1"/>
  <c r="AI34" i="1"/>
  <c r="AD38" i="1"/>
  <c r="AO38" i="1" s="1"/>
  <c r="G33" i="9"/>
  <c r="AC39" i="1"/>
  <c r="C34" i="9"/>
  <c r="L40" i="1"/>
  <c r="Q40" i="1" s="1"/>
  <c r="R40" i="1" s="1"/>
  <c r="H32" i="9"/>
  <c r="AK37" i="1"/>
  <c r="S39" i="1"/>
  <c r="AS39" i="1"/>
  <c r="BE39" i="1"/>
  <c r="BD39" i="1"/>
  <c r="E35" i="5"/>
  <c r="G35" i="5" s="1"/>
  <c r="AU36" i="1"/>
  <c r="M40" i="1"/>
  <c r="N40" i="1" s="1"/>
  <c r="AZ37" i="1"/>
  <c r="BA37" i="1"/>
  <c r="BB37" i="1"/>
  <c r="J48" i="1"/>
  <c r="C48" i="1"/>
  <c r="D48" i="1"/>
  <c r="B49" i="1"/>
  <c r="AF38" i="1"/>
  <c r="H41" i="1"/>
  <c r="G42" i="1"/>
  <c r="I41" i="1"/>
  <c r="AI36" i="1"/>
  <c r="BG37" i="1"/>
  <c r="AG37" i="1"/>
  <c r="BF37" i="1" s="1"/>
  <c r="E43" i="1"/>
  <c r="F42" i="1"/>
  <c r="O41" i="1" l="1"/>
  <c r="P40" i="1"/>
  <c r="T40" i="1" s="1"/>
  <c r="D39" i="5" s="1"/>
  <c r="F39" i="5" s="1"/>
  <c r="AN38" i="1"/>
  <c r="AP38" i="1"/>
  <c r="AD39" i="1"/>
  <c r="AF39" i="1" s="1"/>
  <c r="G34" i="9"/>
  <c r="B38" i="5"/>
  <c r="C38" i="5" s="1"/>
  <c r="D34" i="9"/>
  <c r="H33" i="9"/>
  <c r="AK38" i="1"/>
  <c r="AC40" i="1"/>
  <c r="C35" i="9"/>
  <c r="L41" i="1"/>
  <c r="Q41" i="1" s="1"/>
  <c r="R41" i="1" s="1"/>
  <c r="S40" i="1"/>
  <c r="D35" i="9" s="1"/>
  <c r="BD40" i="1"/>
  <c r="AS40" i="1"/>
  <c r="BE40" i="1"/>
  <c r="E36" i="5"/>
  <c r="G36" i="5" s="1"/>
  <c r="AU37" i="1"/>
  <c r="AZ38" i="1"/>
  <c r="BA38" i="1"/>
  <c r="BB38" i="1"/>
  <c r="D49" i="1"/>
  <c r="B50" i="1"/>
  <c r="J49" i="1"/>
  <c r="C49" i="1"/>
  <c r="AO39" i="1"/>
  <c r="AP39" i="1"/>
  <c r="F43" i="1"/>
  <c r="E44" i="1"/>
  <c r="H42" i="1"/>
  <c r="I42" i="1"/>
  <c r="G43" i="1"/>
  <c r="BG38" i="1"/>
  <c r="AG38" i="1"/>
  <c r="BF38" i="1" s="1"/>
  <c r="AH38" i="1"/>
  <c r="AI37" i="1"/>
  <c r="AN39" i="1" l="1"/>
  <c r="O42" i="1"/>
  <c r="P41" i="1"/>
  <c r="T41" i="1" s="1"/>
  <c r="D40" i="5" s="1"/>
  <c r="F40" i="5" s="1"/>
  <c r="B39" i="5"/>
  <c r="C39" i="5" s="1"/>
  <c r="AD40" i="1"/>
  <c r="AN40" i="1" s="1"/>
  <c r="G35" i="9"/>
  <c r="L42" i="1"/>
  <c r="Q42" i="1" s="1"/>
  <c r="R42" i="1" s="1"/>
  <c r="M41" i="1"/>
  <c r="N41" i="1" s="1"/>
  <c r="BD41" i="1" s="1"/>
  <c r="H34" i="9"/>
  <c r="AK39" i="1"/>
  <c r="E37" i="5"/>
  <c r="G37" i="5" s="1"/>
  <c r="AU38" i="1"/>
  <c r="BA39" i="1"/>
  <c r="BB39" i="1"/>
  <c r="AZ39" i="1"/>
  <c r="D50" i="1"/>
  <c r="J50" i="1"/>
  <c r="C50" i="1"/>
  <c r="E45" i="1"/>
  <c r="F44" i="1"/>
  <c r="AI38" i="1"/>
  <c r="G44" i="1"/>
  <c r="I43" i="1"/>
  <c r="H43" i="1"/>
  <c r="AF40" i="1"/>
  <c r="AH39" i="1"/>
  <c r="BG39" i="1"/>
  <c r="AG39" i="1"/>
  <c r="BF39" i="1" s="1"/>
  <c r="AO40" i="1" l="1"/>
  <c r="AP40" i="1"/>
  <c r="O43" i="1"/>
  <c r="P42" i="1"/>
  <c r="T42" i="1" s="1"/>
  <c r="D41" i="5" s="1"/>
  <c r="F41" i="5" s="1"/>
  <c r="S41" i="1"/>
  <c r="B40" i="5" s="1"/>
  <c r="C40" i="5" s="1"/>
  <c r="M42" i="1"/>
  <c r="N42" i="1" s="1"/>
  <c r="BE42" i="1" s="1"/>
  <c r="L43" i="1"/>
  <c r="Q43" i="1" s="1"/>
  <c r="R43" i="1" s="1"/>
  <c r="AS41" i="1"/>
  <c r="AC41" i="1"/>
  <c r="C36" i="9"/>
  <c r="BE41" i="1"/>
  <c r="H35" i="9"/>
  <c r="AK40" i="1"/>
  <c r="E38" i="5"/>
  <c r="G38" i="5" s="1"/>
  <c r="AU39" i="1"/>
  <c r="BB40" i="1"/>
  <c r="AZ40" i="1"/>
  <c r="BA40" i="1"/>
  <c r="F45" i="1"/>
  <c r="E46" i="1"/>
  <c r="H44" i="1"/>
  <c r="I44" i="1"/>
  <c r="G45" i="1"/>
  <c r="AI39" i="1"/>
  <c r="BG40" i="1"/>
  <c r="AG40" i="1"/>
  <c r="BF40" i="1" s="1"/>
  <c r="AH40" i="1"/>
  <c r="AS42" i="1" l="1"/>
  <c r="C37" i="9"/>
  <c r="S42" i="1"/>
  <c r="AC42" i="1"/>
  <c r="BD42" i="1"/>
  <c r="D36" i="9"/>
  <c r="O44" i="1"/>
  <c r="P43" i="1"/>
  <c r="T43" i="1" s="1"/>
  <c r="D42" i="5" s="1"/>
  <c r="F42" i="5" s="1"/>
  <c r="M43" i="1"/>
  <c r="N43" i="1" s="1"/>
  <c r="AD41" i="1"/>
  <c r="G36" i="9"/>
  <c r="L44" i="1"/>
  <c r="M44" i="1" s="1"/>
  <c r="N44" i="1" s="1"/>
  <c r="B41" i="5"/>
  <c r="C41" i="5" s="1"/>
  <c r="D37" i="9"/>
  <c r="AD42" i="1"/>
  <c r="AO42" i="1" s="1"/>
  <c r="G37" i="9"/>
  <c r="AC43" i="1"/>
  <c r="C38" i="9"/>
  <c r="S43" i="1"/>
  <c r="AS43" i="1"/>
  <c r="BE43" i="1"/>
  <c r="BD43" i="1"/>
  <c r="E39" i="5"/>
  <c r="G39" i="5" s="1"/>
  <c r="AU40" i="1"/>
  <c r="AI40" i="1"/>
  <c r="G46" i="1"/>
  <c r="I45" i="1"/>
  <c r="H45" i="1"/>
  <c r="E47" i="1"/>
  <c r="F46" i="1"/>
  <c r="O45" i="1" l="1"/>
  <c r="P44" i="1"/>
  <c r="T44" i="1" s="1"/>
  <c r="D43" i="5" s="1"/>
  <c r="F43" i="5" s="1"/>
  <c r="Q44" i="1"/>
  <c r="R44" i="1" s="1"/>
  <c r="AC44" i="1"/>
  <c r="C39" i="9"/>
  <c r="H37" i="9"/>
  <c r="AK42" i="1"/>
  <c r="L45" i="1"/>
  <c r="Q45" i="1" s="1"/>
  <c r="R45" i="1" s="1"/>
  <c r="AN42" i="1"/>
  <c r="AF42" i="1"/>
  <c r="BB42" i="1" s="1"/>
  <c r="B42" i="5"/>
  <c r="C42" i="5" s="1"/>
  <c r="D38" i="9"/>
  <c r="AP42" i="1"/>
  <c r="AD43" i="1"/>
  <c r="AF43" i="1" s="1"/>
  <c r="G38" i="9"/>
  <c r="H36" i="9"/>
  <c r="AK41" i="1"/>
  <c r="AO41" i="1"/>
  <c r="AP41" i="1"/>
  <c r="AN41" i="1"/>
  <c r="AF41" i="1"/>
  <c r="S44" i="1"/>
  <c r="D39" i="9" s="1"/>
  <c r="BD44" i="1"/>
  <c r="AS44" i="1"/>
  <c r="BE44" i="1"/>
  <c r="AZ42" i="1"/>
  <c r="BA42" i="1"/>
  <c r="F47" i="1"/>
  <c r="E48" i="1"/>
  <c r="H46" i="1"/>
  <c r="I46" i="1"/>
  <c r="G47" i="1"/>
  <c r="BG42" i="1"/>
  <c r="AH42" i="1"/>
  <c r="O46" i="1" l="1"/>
  <c r="P45" i="1"/>
  <c r="T45" i="1" s="1"/>
  <c r="D44" i="5" s="1"/>
  <c r="F44" i="5" s="1"/>
  <c r="M45" i="1"/>
  <c r="N45" i="1" s="1"/>
  <c r="C40" i="9" s="1"/>
  <c r="B43" i="5"/>
  <c r="C43" i="5" s="1"/>
  <c r="AO43" i="1"/>
  <c r="H38" i="9"/>
  <c r="AK43" i="1"/>
  <c r="AN43" i="1"/>
  <c r="AG41" i="1"/>
  <c r="BF41" i="1" s="1"/>
  <c r="BB41" i="1"/>
  <c r="BG41" i="1"/>
  <c r="AH41" i="1"/>
  <c r="AZ41" i="1"/>
  <c r="BA41" i="1"/>
  <c r="AP43" i="1"/>
  <c r="AG42" i="1"/>
  <c r="BF42" i="1" s="1"/>
  <c r="L46" i="1"/>
  <c r="Q46" i="1" s="1"/>
  <c r="R46" i="1" s="1"/>
  <c r="AD44" i="1"/>
  <c r="AP44" i="1" s="1"/>
  <c r="G39" i="9"/>
  <c r="S45" i="1"/>
  <c r="D40" i="9" s="1"/>
  <c r="BE45" i="1"/>
  <c r="E41" i="5"/>
  <c r="G41" i="5" s="1"/>
  <c r="AU42" i="1"/>
  <c r="BA43" i="1"/>
  <c r="BB43" i="1"/>
  <c r="AZ43" i="1"/>
  <c r="G48" i="1"/>
  <c r="I47" i="1"/>
  <c r="H47" i="1"/>
  <c r="E49" i="1"/>
  <c r="F48" i="1"/>
  <c r="BG43" i="1"/>
  <c r="AG43" i="1"/>
  <c r="BF43" i="1" s="1"/>
  <c r="AH43" i="1"/>
  <c r="AI42" i="1"/>
  <c r="M46" i="1" l="1"/>
  <c r="N46" i="1" s="1"/>
  <c r="AC45" i="1"/>
  <c r="BD45" i="1"/>
  <c r="O47" i="1"/>
  <c r="P46" i="1"/>
  <c r="T46" i="1" s="1"/>
  <c r="D45" i="5" s="1"/>
  <c r="F45" i="5" s="1"/>
  <c r="AS45" i="1"/>
  <c r="B44" i="5"/>
  <c r="C44" i="5" s="1"/>
  <c r="AC46" i="1"/>
  <c r="C41" i="9"/>
  <c r="AN44" i="1"/>
  <c r="AI41" i="1"/>
  <c r="E40" i="5"/>
  <c r="G40" i="5" s="1"/>
  <c r="AU41" i="1"/>
  <c r="L47" i="1"/>
  <c r="Q47" i="1" s="1"/>
  <c r="R47" i="1" s="1"/>
  <c r="H39" i="9"/>
  <c r="AK44" i="1"/>
  <c r="AF44" i="1"/>
  <c r="AG44" i="1" s="1"/>
  <c r="BF44" i="1" s="1"/>
  <c r="AD45" i="1"/>
  <c r="G40" i="9"/>
  <c r="AO44" i="1"/>
  <c r="S46" i="1"/>
  <c r="D41" i="9" s="1"/>
  <c r="AS46" i="1"/>
  <c r="BE46" i="1"/>
  <c r="BD46" i="1"/>
  <c r="E42" i="5"/>
  <c r="G42" i="5" s="1"/>
  <c r="AU43" i="1"/>
  <c r="BA44" i="1"/>
  <c r="AN45" i="1"/>
  <c r="AO45" i="1"/>
  <c r="AH44" i="1"/>
  <c r="BG44" i="1"/>
  <c r="AF45" i="1"/>
  <c r="AI43" i="1"/>
  <c r="F49" i="1"/>
  <c r="E50" i="1"/>
  <c r="F50" i="1" s="1"/>
  <c r="H48" i="1"/>
  <c r="I48" i="1"/>
  <c r="G49" i="1"/>
  <c r="O48" i="1" l="1"/>
  <c r="P47" i="1"/>
  <c r="T47" i="1" s="1"/>
  <c r="D46" i="5" s="1"/>
  <c r="F46" i="5" s="1"/>
  <c r="AZ44" i="1"/>
  <c r="BB44" i="1"/>
  <c r="B45" i="5"/>
  <c r="C45" i="5" s="1"/>
  <c r="M47" i="1"/>
  <c r="N47" i="1" s="1"/>
  <c r="AC47" i="1" s="1"/>
  <c r="H40" i="9"/>
  <c r="AK45" i="1"/>
  <c r="L48" i="1"/>
  <c r="M48" i="1" s="1"/>
  <c r="N48" i="1" s="1"/>
  <c r="AP45" i="1"/>
  <c r="AD46" i="1"/>
  <c r="AN46" i="1" s="1"/>
  <c r="G41" i="9"/>
  <c r="S47" i="1"/>
  <c r="D42" i="9" s="1"/>
  <c r="AS47" i="1"/>
  <c r="E43" i="5"/>
  <c r="G43" i="5" s="1"/>
  <c r="AU44" i="1"/>
  <c r="AZ45" i="1"/>
  <c r="BA45" i="1"/>
  <c r="BB45" i="1"/>
  <c r="G50" i="1"/>
  <c r="I49" i="1"/>
  <c r="H49" i="1"/>
  <c r="BG45" i="1"/>
  <c r="AG45" i="1"/>
  <c r="BF45" i="1" s="1"/>
  <c r="AH45" i="1"/>
  <c r="AF46" i="1"/>
  <c r="AI44" i="1"/>
  <c r="BE47" i="1" l="1"/>
  <c r="O49" i="1"/>
  <c r="P48" i="1"/>
  <c r="T48" i="1" s="1"/>
  <c r="D47" i="5" s="1"/>
  <c r="F47" i="5" s="1"/>
  <c r="C42" i="9"/>
  <c r="B46" i="5"/>
  <c r="C46" i="5" s="1"/>
  <c r="AP46" i="1"/>
  <c r="BD47" i="1"/>
  <c r="Q48" i="1"/>
  <c r="R48" i="1" s="1"/>
  <c r="AC48" i="1"/>
  <c r="C43" i="9"/>
  <c r="L49" i="1"/>
  <c r="Q49" i="1" s="1"/>
  <c r="R49" i="1" s="1"/>
  <c r="H41" i="9"/>
  <c r="AK46" i="1"/>
  <c r="AO46" i="1"/>
  <c r="AD47" i="1"/>
  <c r="G42" i="9"/>
  <c r="S48" i="1"/>
  <c r="BD48" i="1"/>
  <c r="AS48" i="1"/>
  <c r="BE48" i="1"/>
  <c r="E44" i="5"/>
  <c r="G44" i="5" s="1"/>
  <c r="AU45" i="1"/>
  <c r="AZ46" i="1"/>
  <c r="BA46" i="1"/>
  <c r="BB46" i="1"/>
  <c r="AH46" i="1"/>
  <c r="BG46" i="1"/>
  <c r="AG46" i="1"/>
  <c r="BF46" i="1" s="1"/>
  <c r="H50" i="1"/>
  <c r="I50" i="1"/>
  <c r="AI45" i="1"/>
  <c r="M49" i="1" l="1"/>
  <c r="N49" i="1" s="1"/>
  <c r="O50" i="1"/>
  <c r="P50" i="1" s="1"/>
  <c r="T50" i="1" s="1"/>
  <c r="D49" i="5" s="1"/>
  <c r="F49" i="5" s="1"/>
  <c r="P49" i="1"/>
  <c r="T49" i="1" s="1"/>
  <c r="D48" i="5" s="1"/>
  <c r="F48" i="5" s="1"/>
  <c r="H42" i="9"/>
  <c r="AK47" i="1"/>
  <c r="AO47" i="1"/>
  <c r="AP47" i="1"/>
  <c r="L50" i="1"/>
  <c r="Q50" i="1" s="1"/>
  <c r="R50" i="1" s="1"/>
  <c r="AC49" i="1"/>
  <c r="C44" i="9"/>
  <c r="B47" i="5"/>
  <c r="C47" i="5" s="1"/>
  <c r="D43" i="9"/>
  <c r="AN47" i="1"/>
  <c r="AF47" i="1"/>
  <c r="BA47" i="1" s="1"/>
  <c r="AD48" i="1"/>
  <c r="AO48" i="1" s="1"/>
  <c r="G43" i="9"/>
  <c r="S49" i="1"/>
  <c r="D44" i="9" s="1"/>
  <c r="BE49" i="1"/>
  <c r="BD49" i="1"/>
  <c r="AS49" i="1"/>
  <c r="E45" i="5"/>
  <c r="G45" i="5" s="1"/>
  <c r="AU46" i="1"/>
  <c r="AI46" i="1"/>
  <c r="AZ47" i="1" l="1"/>
  <c r="M50" i="1"/>
  <c r="N50" i="1" s="1"/>
  <c r="AH47" i="1"/>
  <c r="B48" i="5"/>
  <c r="C48" i="5" s="1"/>
  <c r="AG47" i="1"/>
  <c r="BF47" i="1" s="1"/>
  <c r="BG47" i="1"/>
  <c r="AN48" i="1"/>
  <c r="H43" i="9"/>
  <c r="AK48" i="1"/>
  <c r="AD49" i="1"/>
  <c r="AP49" i="1" s="1"/>
  <c r="G44" i="9"/>
  <c r="BB47" i="1"/>
  <c r="AC50" i="1"/>
  <c r="C45" i="9"/>
  <c r="AP48" i="1"/>
  <c r="AF48" i="1"/>
  <c r="BA48" i="1" s="1"/>
  <c r="S50" i="1"/>
  <c r="D45" i="9" s="1"/>
  <c r="AS50" i="1"/>
  <c r="BE50" i="1"/>
  <c r="BD50" i="1"/>
  <c r="E46" i="5"/>
  <c r="G46" i="5" s="1"/>
  <c r="AU47" i="1"/>
  <c r="B49" i="5"/>
  <c r="C49" i="5" s="1"/>
  <c r="AI47" i="1"/>
  <c r="AO49" i="1" l="1"/>
  <c r="AZ48" i="1"/>
  <c r="BG48" i="1"/>
  <c r="AG48" i="1"/>
  <c r="BF48" i="1" s="1"/>
  <c r="BB48" i="1"/>
  <c r="AH48" i="1"/>
  <c r="AI48" i="1" s="1"/>
  <c r="AN49" i="1"/>
  <c r="AF49" i="1"/>
  <c r="BG49" i="1" s="1"/>
  <c r="AD50" i="1"/>
  <c r="AP50" i="1" s="1"/>
  <c r="G45" i="9"/>
  <c r="H44" i="9"/>
  <c r="AK49" i="1"/>
  <c r="E47" i="5"/>
  <c r="G47" i="5" s="1"/>
  <c r="AF50" i="1" l="1"/>
  <c r="BB50" i="1" s="1"/>
  <c r="AO50" i="1"/>
  <c r="AU48" i="1"/>
  <c r="AH49" i="1"/>
  <c r="AG49" i="1"/>
  <c r="BF49" i="1" s="1"/>
  <c r="BA49" i="1"/>
  <c r="AZ49" i="1"/>
  <c r="AN50" i="1"/>
  <c r="BB49" i="1"/>
  <c r="H45" i="9"/>
  <c r="AK50" i="1"/>
  <c r="E48" i="5"/>
  <c r="G48" i="5" s="1"/>
  <c r="AU49" i="1"/>
  <c r="AZ50" i="1"/>
  <c r="BA50" i="1"/>
  <c r="AH50" i="1"/>
  <c r="BG50" i="1"/>
  <c r="AG50" i="1"/>
  <c r="BF50" i="1" s="1"/>
  <c r="AI49" i="1"/>
  <c r="E49" i="5" l="1"/>
  <c r="G49" i="5" s="1"/>
  <c r="AU50" i="1"/>
  <c r="AI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Brecha</author>
    <author>tc={A2748018-E241-4DFA-B08D-B99835615A15}</author>
  </authors>
  <commentList>
    <comment ref="AK2" authorId="0" shapeId="0" xr:uid="{8BB43B98-A8F9-4B5C-8B0A-D9DC695726C8}">
      <text>
        <r>
          <rPr>
            <b/>
            <sz val="9"/>
            <color indexed="81"/>
            <rFont val="Tahoma"/>
            <family val="2"/>
          </rPr>
          <t>Robert Brecha:</t>
        </r>
        <r>
          <rPr>
            <sz val="9"/>
            <color indexed="81"/>
            <rFont val="Tahoma"/>
            <family val="2"/>
          </rPr>
          <t xml:space="preserve">
https://www.farmanddairy.com/columns/2500-gallons-of-water-per-bushel-of-irrigated-corn-is-too-much/711561.html 
and other sources
</t>
        </r>
      </text>
    </comment>
    <comment ref="AS2" authorId="0" shapeId="0" xr:uid="{73B47FF8-6E26-4F01-9BE0-32F0F5BD154D}">
      <text>
        <r>
          <rPr>
            <b/>
            <sz val="9"/>
            <color indexed="81"/>
            <rFont val="Tahoma"/>
            <family val="2"/>
          </rPr>
          <t>Robert Brecha:</t>
        </r>
        <r>
          <rPr>
            <sz val="9"/>
            <color indexed="81"/>
            <rFont val="Tahoma"/>
            <family val="2"/>
          </rPr>
          <t xml:space="preserve">
https://www.card.iastate.edu/research/biorenewables/tools/hist_eth_gm.aspx</t>
        </r>
      </text>
    </comment>
    <comment ref="AU2" authorId="0" shapeId="0" xr:uid="{A356CD8E-4D25-4F40-B5D2-564C75A1CCFA}">
      <text>
        <r>
          <rPr>
            <b/>
            <sz val="9"/>
            <color indexed="81"/>
            <rFont val="Tahoma"/>
            <family val="2"/>
          </rPr>
          <t>Robert Brecha:</t>
        </r>
        <r>
          <rPr>
            <sz val="9"/>
            <color indexed="81"/>
            <rFont val="Tahoma"/>
            <family val="2"/>
          </rPr>
          <t xml:space="preserve">
https://emp.lbl.gov/utility-scale-solar/
</t>
        </r>
      </text>
    </comment>
    <comment ref="AX2" authorId="0" shapeId="0" xr:uid="{68BB49BA-668C-4D23-9163-21E08C6B1628}">
      <text>
        <r>
          <rPr>
            <b/>
            <sz val="9"/>
            <color indexed="81"/>
            <rFont val="Tahoma"/>
            <family val="2"/>
          </rPr>
          <t>Robert Brecha:</t>
        </r>
        <r>
          <rPr>
            <sz val="9"/>
            <color indexed="81"/>
            <rFont val="Tahoma"/>
            <family val="2"/>
          </rPr>
          <t xml:space="preserve">
https://www.extension.iastate.edu/agdm/
</t>
        </r>
      </text>
    </comment>
    <comment ref="AY2" authorId="0" shapeId="0" xr:uid="{F7C5F152-4721-4CE6-95D7-11244633A910}">
      <text>
        <r>
          <rPr>
            <b/>
            <sz val="9"/>
            <color indexed="81"/>
            <rFont val="Tahoma"/>
            <family val="2"/>
          </rPr>
          <t>Robert Brecha:</t>
        </r>
        <r>
          <rPr>
            <sz val="9"/>
            <color indexed="81"/>
            <rFont val="Tahoma"/>
            <family val="2"/>
          </rPr>
          <t xml:space="preserve">
(wouldn't get any solar pv lease income)</t>
        </r>
      </text>
    </comment>
    <comment ref="BD2" authorId="0" shapeId="0" xr:uid="{ACE3BAA4-6D56-4A29-9502-5812FF823D19}">
      <text>
        <r>
          <rPr>
            <b/>
            <sz val="9"/>
            <color indexed="81"/>
            <rFont val="Tahoma"/>
            <family val="2"/>
          </rPr>
          <t>Robert Brecha:</t>
        </r>
        <r>
          <rPr>
            <sz val="9"/>
            <color indexed="81"/>
            <rFont val="Tahoma"/>
            <family val="2"/>
          </rPr>
          <t xml:space="preserve">
https://afdc.energy.gov/fuels/ethanol_benefits.html</t>
        </r>
      </text>
    </comment>
    <comment ref="G4" authorId="1" shapeId="0" xr:uid="{A2748018-E241-4DFA-B08D-B99835615A15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to set the fraction of EV sales in 2030</t>
      </text>
    </comment>
    <comment ref="AK7" authorId="0" shapeId="0" xr:uid="{8FC8F6D1-9158-41D6-A791-0466FB5D2E69}">
      <text>
        <r>
          <rPr>
            <b/>
            <sz val="9"/>
            <color indexed="81"/>
            <rFont val="Tahoma"/>
            <family val="2"/>
          </rPr>
          <t>Robert Brecha:</t>
        </r>
        <r>
          <rPr>
            <sz val="9"/>
            <color indexed="81"/>
            <rFont val="Tahoma"/>
            <family val="2"/>
          </rPr>
          <t xml:space="preserve">
https://www.ers.usda.gov/data-products/chart-gallery/gallery/chart-detail/?chartId=103568
</t>
        </r>
      </text>
    </comment>
    <comment ref="G9" authorId="0" shapeId="0" xr:uid="{38A92D4D-D67A-4870-9017-0B47984231EB}">
      <text>
        <r>
          <rPr>
            <b/>
            <sz val="9"/>
            <color indexed="81"/>
            <rFont val="Tahoma"/>
            <family val="2"/>
          </rPr>
          <t>Robert Brecha:</t>
        </r>
        <r>
          <rPr>
            <sz val="9"/>
            <color indexed="81"/>
            <rFont val="Tahoma"/>
            <family val="2"/>
          </rPr>
          <t xml:space="preserve">
Use logistic equation for changes</t>
        </r>
      </text>
    </comment>
    <comment ref="U9" authorId="0" shapeId="0" xr:uid="{126AF619-5F7C-48F4-B140-DAC0CD079979}">
      <text>
        <r>
          <rPr>
            <b/>
            <sz val="9"/>
            <color indexed="81"/>
            <rFont val="Tahoma"/>
            <family val="2"/>
          </rPr>
          <t>Robert Brecha:</t>
        </r>
        <r>
          <rPr>
            <sz val="9"/>
            <color indexed="81"/>
            <rFont val="Tahoma"/>
            <family val="2"/>
          </rPr>
          <t xml:space="preserve">
Problem with this overly simple model is that it does not account for the "death" of cars. They effectively last the whole time period.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tc={76D94FA8-6067-4F93-870D-78D941937739}</author>
  </authors>
  <commentList>
    <comment ref="D4" authorId="0" shapeId="0" xr:uid="{76D94FA8-6067-4F93-870D-78D9419377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Dependent on fraction of former corn-ethanol land used for solar PV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tc={73D94EF5-A1E9-484E-8E11-52BA3CBE52BE}</author>
  </authors>
  <commentList>
    <comment ref="D4" authorId="0" shapeId="0" xr:uid="{73D94EF5-A1E9-484E-8E11-52BA3CBE52BE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Dependent on fraction of land leased for solar</t>
      </text>
    </comment>
  </commentList>
</comments>
</file>

<file path=xl/sharedStrings.xml><?xml version="1.0" encoding="utf-8"?>
<sst xmlns="http://schemas.openxmlformats.org/spreadsheetml/2006/main" count="180" uniqueCount="143">
  <si>
    <t>Year</t>
  </si>
  <si>
    <t>Initial EV stock</t>
  </si>
  <si>
    <t>Initial EV growth rate</t>
  </si>
  <si>
    <t>Logistic equation for changes:</t>
  </si>
  <si>
    <t>Car kilometers per year</t>
  </si>
  <si>
    <t>ICEV efficiency</t>
  </si>
  <si>
    <t>EV efficiency</t>
  </si>
  <si>
    <t>km/kWh</t>
  </si>
  <si>
    <t>liters/100km</t>
  </si>
  <si>
    <t>Number of cars (millions)</t>
  </si>
  <si>
    <t>Number of EVs (millions)</t>
  </si>
  <si>
    <t>Number of ICEVs (millions)</t>
  </si>
  <si>
    <t>EV electricity use (GWh)</t>
  </si>
  <si>
    <t>EV energy use (TWh)</t>
  </si>
  <si>
    <t>MJ/liter</t>
  </si>
  <si>
    <t>ICEV energy use (TWh)</t>
  </si>
  <si>
    <t>EV sales (millions)</t>
  </si>
  <si>
    <t>Initial LDV stock (millions)</t>
  </si>
  <si>
    <t>Initial LDV growth rate</t>
  </si>
  <si>
    <t>Ethanol consumption (billion liters)</t>
  </si>
  <si>
    <t>Actual EV sales (IEA)</t>
  </si>
  <si>
    <t>ICEV fuel use (million liters)</t>
  </si>
  <si>
    <t>Actual EIA ethanol consumption (billion liters)</t>
  </si>
  <si>
    <t>Vehicle miles traveled per year (million miles)</t>
  </si>
  <si>
    <t>Actual TEDB LDV miles traveled (million miles) (adjusted)</t>
  </si>
  <si>
    <t>Improvement</t>
  </si>
  <si>
    <t>per year</t>
  </si>
  <si>
    <t>Actual TEDB gasoline only consumption for LDVs (PJ)</t>
  </si>
  <si>
    <t>Ethanol energy use (PJ)</t>
  </si>
  <si>
    <t>Gasoline energy density:</t>
  </si>
  <si>
    <t>Ethanol fraction</t>
  </si>
  <si>
    <t>Overall energy density</t>
  </si>
  <si>
    <t>Ethanol energy density</t>
  </si>
  <si>
    <t>LDV scrap rate</t>
  </si>
  <si>
    <t>Total LDV sales</t>
  </si>
  <si>
    <t>million</t>
  </si>
  <si>
    <t>Scrappage</t>
  </si>
  <si>
    <t>Total sales</t>
  </si>
  <si>
    <t>EV sales</t>
  </si>
  <si>
    <t>% EV sales</t>
  </si>
  <si>
    <t>Efficiency improvement rate</t>
  </si>
  <si>
    <t>Yield improvement rate</t>
  </si>
  <si>
    <t>Initial ethanol efficiency (liters/bushel)</t>
  </si>
  <si>
    <t>Initial corn yield (bushels/acre)</t>
  </si>
  <si>
    <t>Est. bushels of corn for ethanol (billion)</t>
  </si>
  <si>
    <t>Est. acres of corn for ethanol (million acres)</t>
  </si>
  <si>
    <t>Solar pv area per MW (acres)</t>
  </si>
  <si>
    <t>Solar pv AC output [GWh/MW capacity]</t>
  </si>
  <si>
    <t>Solar PV output [TWh]</t>
  </si>
  <si>
    <t>Ethanol substituted PV fraction of total EV use</t>
  </si>
  <si>
    <t>gallons</t>
  </si>
  <si>
    <t>liters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</si>
  <si>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</si>
  <si>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Max current irrigated corn</t>
  </si>
  <si>
    <t>million acres</t>
  </si>
  <si>
    <r>
      <t>Water saved if irrigated corn is replaced [Gm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</si>
  <si>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bushels/acre irrigated yield</t>
  </si>
  <si>
    <t>Irrigation water use per bushel</t>
  </si>
  <si>
    <t>Average overall est. earning for ethanol</t>
  </si>
  <si>
    <t>per gallon</t>
  </si>
  <si>
    <t>per liter</t>
  </si>
  <si>
    <t>per MWh</t>
  </si>
  <si>
    <t>cost reduction factor</t>
  </si>
  <si>
    <t>Net income from ethanol (billion $)</t>
  </si>
  <si>
    <t>Cumulative new PV area (million acres)</t>
  </si>
  <si>
    <t>Annual added PV capacity [GW]</t>
  </si>
  <si>
    <t xml:space="preserve">Solar jobs, C&amp;I </t>
  </si>
  <si>
    <t>Solar jobs, O&amp;M</t>
  </si>
  <si>
    <t>per MW</t>
  </si>
  <si>
    <t>Total ethanol + PV jobs</t>
  </si>
  <si>
    <t>EV fraction in fleet</t>
  </si>
  <si>
    <t>25% sales by 2030</t>
  </si>
  <si>
    <t>50% sales by 2030</t>
  </si>
  <si>
    <t>75% sales by 2030</t>
  </si>
  <si>
    <t>assuming</t>
  </si>
  <si>
    <r>
      <t>Irrigation water saved [Gm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]</t>
    </r>
  </si>
  <si>
    <t>Ethanol income [billion $]</t>
  </si>
  <si>
    <t>Solar pv income [billion $]</t>
  </si>
  <si>
    <t>kg/acre</t>
  </si>
  <si>
    <t>Phosphate</t>
  </si>
  <si>
    <t>Potash</t>
  </si>
  <si>
    <t xml:space="preserve">https://www.ers.usda.gov/data-products/fertilizer-use-and-price/documentation-and-data-sources/ </t>
  </si>
  <si>
    <t>Phosphate fertilizer saved [%]</t>
  </si>
  <si>
    <t>Nitrogen fertilizer saved [%]</t>
  </si>
  <si>
    <t>Potash fertilizer saved [%]</t>
  </si>
  <si>
    <t>fraction of acres receiving</t>
  </si>
  <si>
    <t>Lease rates</t>
  </si>
  <si>
    <t>per acre min</t>
  </si>
  <si>
    <t>per acre med</t>
  </si>
  <si>
    <t>per acre max</t>
  </si>
  <si>
    <t>value of lease income</t>
  </si>
  <si>
    <t>&lt;-----------------</t>
  </si>
  <si>
    <t>---------&gt;</t>
  </si>
  <si>
    <t>[million $]</t>
  </si>
  <si>
    <t>Landowner farmer earnings per acre</t>
  </si>
  <si>
    <t>average over last twenty years</t>
  </si>
  <si>
    <t xml:space="preserve">Tenant farmer earnings per acre </t>
  </si>
  <si>
    <t>acre-ft/acre</t>
  </si>
  <si>
    <t>Gasoline consumption (billion liters)</t>
  </si>
  <si>
    <t>EIA gasoline sold (billion liters)</t>
  </si>
  <si>
    <t>ICEV total energy use (PJ)</t>
  </si>
  <si>
    <t>EV fraction in fleet by EV Sales Scenario</t>
  </si>
  <si>
    <t>Consumption of ethanol (billion liters) by EV sales scenario</t>
  </si>
  <si>
    <t>EtOH consumption (billion liters)</t>
  </si>
  <si>
    <t>Acres of corn for ethanol ( million acres)</t>
  </si>
  <si>
    <t>Acres of corn by EV sales scenario</t>
  </si>
  <si>
    <t>EV sales fraction by EV sales scenario</t>
  </si>
  <si>
    <t xml:space="preserve"> EV fraction of sales</t>
  </si>
  <si>
    <r>
      <t>EROEI</t>
    </r>
    <r>
      <rPr>
        <vertAlign val="subscript"/>
        <sz val="11"/>
        <color theme="1"/>
        <rFont val="Calibri"/>
        <family val="2"/>
        <scheme val="minor"/>
      </rPr>
      <t>ethanol</t>
    </r>
  </si>
  <si>
    <r>
      <t>EROEI</t>
    </r>
    <r>
      <rPr>
        <vertAlign val="subscript"/>
        <sz val="11"/>
        <color theme="1"/>
        <rFont val="Calibri"/>
        <family val="2"/>
        <scheme val="minor"/>
      </rPr>
      <t>PV</t>
    </r>
  </si>
  <si>
    <r>
      <t>Energy</t>
    </r>
    <r>
      <rPr>
        <vertAlign val="subscript"/>
        <sz val="11"/>
        <color theme="1"/>
        <rFont val="Calibri"/>
        <family val="2"/>
        <scheme val="minor"/>
      </rPr>
      <t>net,ethanol</t>
    </r>
  </si>
  <si>
    <r>
      <t>Energy</t>
    </r>
    <r>
      <rPr>
        <vertAlign val="subscript"/>
        <sz val="11"/>
        <color theme="1"/>
        <rFont val="Calibri"/>
        <family val="2"/>
        <scheme val="minor"/>
      </rPr>
      <t>net, PV</t>
    </r>
  </si>
  <si>
    <t>PV energy use (PJ)</t>
  </si>
  <si>
    <t>Fraction corn acreage replaced by PV</t>
  </si>
  <si>
    <t>PV energy generated (TWh)</t>
  </si>
  <si>
    <t>Fuel eff</t>
  </si>
  <si>
    <t>Jobs in ethanol, agriculture</t>
  </si>
  <si>
    <t>Jobs in ethanol, other</t>
  </si>
  <si>
    <t>per billion liters</t>
  </si>
  <si>
    <t>PPA for solar PV</t>
  </si>
  <si>
    <t xml:space="preserve">Total nitrogen </t>
  </si>
  <si>
    <t>Total phosphate</t>
  </si>
  <si>
    <t xml:space="preserve">Total potash </t>
  </si>
  <si>
    <t>USDA fertilizer use and cost data spreadsheet</t>
  </si>
  <si>
    <t>Nitrogen</t>
  </si>
  <si>
    <t>Elec eff</t>
  </si>
  <si>
    <t>kWh/km</t>
  </si>
  <si>
    <t>Implications for ethanol consumption</t>
  </si>
  <si>
    <t>Implications for corn area harvested</t>
  </si>
  <si>
    <t>New PV area, dependent on fraction of substitution assumed</t>
  </si>
  <si>
    <t>Decreased amount of irrigation water needed</t>
  </si>
  <si>
    <t>Decreased amounts of fertilizers needed</t>
  </si>
  <si>
    <t>Income as solar producer (billion $)</t>
  </si>
  <si>
    <t>Total income for ethanol production and potential solar income from PPA</t>
  </si>
  <si>
    <t>Landowner net income from ethanol and potentially solar PV lease</t>
  </si>
  <si>
    <t>Net income for landowners (million $)</t>
  </si>
  <si>
    <t>Net income for tenant farmers (million $)</t>
  </si>
  <si>
    <t>Potential income from solar PV leases (million $)</t>
  </si>
  <si>
    <t>Total ethanol jobs, agriculture</t>
  </si>
  <si>
    <t>Total other ethanol jobs</t>
  </si>
  <si>
    <t>Total jobs</t>
  </si>
  <si>
    <t>Total solar PV jobs (corn land), C&amp;I</t>
  </si>
  <si>
    <t>Total solar PV jobs (corn land), O&amp;M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</si>
</sst>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[Red]\(&quot;$&quot;#,##0\)"/>
    <numFmt numFmtId="165" formatCode="_(&quot;$&quot;* #,##0.00_);_(&quot;$&quot;* \(#,##0.00\);_(&quot;$&quot;* &quot;-&quot;??_);_(@_)"/>
    <numFmt numFmtId="166" formatCode="0.0"/>
    <numFmt numFmtId="167" formatCode="0.000"/>
    <numFmt numFmtId="168" formatCode="0.0%"/>
    <numFmt numFmtId="169" formatCode="_(&quot;$&quot;* #,##0.000_);_(&quot;$&quot;* \(#,##0.000\);_(&quot;$&quot;* &quot;-&quot;??_);_(@_)"/>
    <numFmt numFmtId="170" formatCode="&quot;$&quot;#,##0.00"/>
    <numFmt numFmtId="171" formatCode="&quot;$&quot;#,##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8" fillId="6" borderId="1" applyNumberFormat="0" applyAlignment="0" applyProtection="0"/>
  </cellStyleXfs>
  <cellXfs count="48">
    <xf numFmtId="0" fontId="0" fillId="0" borderId="0" xfId="0"/>
    <xf numFmtId="10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6" fontId="0" fillId="2" borderId="0" xfId="0" applyNumberFormat="1" applyFill="1"/>
    <xf numFmtId="167" fontId="0" fillId="0" borderId="0" xfId="0" applyNumberFormat="1"/>
    <xf numFmtId="3" fontId="4" fillId="0" borderId="0" xfId="0" applyNumberFormat="1" applyFont="1" applyAlignment="1">
      <alignment horizontal="center"/>
    </xf>
    <xf numFmtId="166" fontId="0" fillId="0" borderId="0" xfId="0" applyNumberFormat="1" applyAlignment="1">
      <alignment wrapText="1"/>
    </xf>
    <xf numFmtId="168" fontId="0" fillId="0" borderId="0" xfId="0" applyNumberFormat="1"/>
    <xf numFmtId="168" fontId="0" fillId="0" borderId="0" xfId="2" applyNumberFormat="1" applyFont="1" applyAlignment="1">
      <alignment wrapText="1"/>
    </xf>
    <xf numFmtId="165" fontId="0" fillId="0" borderId="0" xfId="1" applyFont="1"/>
    <xf numFmtId="165" fontId="0" fillId="0" borderId="0" xfId="0" applyNumberFormat="1"/>
    <xf numFmtId="169" fontId="0" fillId="0" borderId="0" xfId="0" applyNumberFormat="1"/>
    <xf numFmtId="164" fontId="0" fillId="0" borderId="0" xfId="0" applyNumberFormat="1"/>
    <xf numFmtId="171" fontId="0" fillId="0" borderId="0" xfId="1" applyNumberFormat="1" applyFont="1"/>
    <xf numFmtId="170" fontId="0" fillId="0" borderId="0" xfId="0" applyNumberFormat="1"/>
    <xf numFmtId="168" fontId="0" fillId="0" borderId="0" xfId="2" applyNumberFormat="1" applyFont="1"/>
    <xf numFmtId="0" fontId="0" fillId="3" borderId="0" xfId="0" applyFill="1"/>
    <xf numFmtId="0" fontId="0" fillId="3" borderId="0" xfId="0" applyFill="1" applyAlignment="1">
      <alignment wrapText="1"/>
    </xf>
    <xf numFmtId="2" fontId="0" fillId="3" borderId="0" xfId="0" applyNumberFormat="1" applyFill="1"/>
    <xf numFmtId="0" fontId="6" fillId="0" borderId="0" xfId="3"/>
    <xf numFmtId="164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2" fontId="0" fillId="2" borderId="0" xfId="0" applyNumberFormat="1" applyFill="1"/>
    <xf numFmtId="167" fontId="0" fillId="2" borderId="0" xfId="0" applyNumberFormat="1" applyFill="1"/>
    <xf numFmtId="0" fontId="0" fillId="4" borderId="0" xfId="0" applyFill="1"/>
    <xf numFmtId="0" fontId="0" fillId="5" borderId="0" xfId="0" applyFill="1" applyAlignment="1">
      <alignment wrapText="1"/>
    </xf>
    <xf numFmtId="168" fontId="0" fillId="5" borderId="0" xfId="2" applyNumberFormat="1" applyFont="1" applyFill="1"/>
    <xf numFmtId="0" fontId="0" fillId="5" borderId="0" xfId="0" applyFill="1"/>
    <xf numFmtId="0" fontId="0" fillId="2" borderId="0" xfId="0" applyFill="1"/>
    <xf numFmtId="166" fontId="0" fillId="5" borderId="0" xfId="0" applyNumberFormat="1" applyFill="1"/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168" fontId="0" fillId="0" borderId="0" xfId="2" applyNumberFormat="1" applyFont="1" applyFill="1"/>
    <xf numFmtId="0" fontId="0" fillId="7" borderId="0" xfId="0" applyFill="1" applyAlignment="1">
      <alignment wrapText="1"/>
    </xf>
    <xf numFmtId="168" fontId="8" fillId="6" borderId="1" xfId="4" applyNumberFormat="1"/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169" fontId="8" fillId="6" borderId="1" xfId="4" applyNumberFormat="1"/>
    <xf numFmtId="164" fontId="8" fillId="6" borderId="1" xfId="4" applyNumberFormat="1"/>
    <xf numFmtId="164" fontId="8" fillId="6" borderId="1" xfId="4" applyNumberFormat="1" applyAlignment="1">
      <alignment wrapText="1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</cellXfs>
  <cellStyles count="5">
    <cellStyle name="Currency" xfId="1" builtinId="4"/>
    <cellStyle name="Hyperlink" xfId="3" builtinId="8"/>
    <cellStyle name="Input" xfId="4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Vehicle Stocks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'main calculations'!$G$9</c:f>
              <c:strCache>
                <c:ptCount val="1"/>
                <c:pt idx="0">
                  <c:v>Number of EVs (millions)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'main calculations'!$A$10:$A$50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'main calculations'!$G$10:$G$50</c:f>
              <c:numCache>
                <c:formatCode>General</c:formatCode>
                <c:ptCount val="41"/>
                <c:pt idx="0">
                  <c:v>3.8E-3</c:v>
                </c:pt>
                <c:pt idx="1">
                  <c:v>2.1999999999999999E-2</c:v>
                </c:pt>
                <c:pt idx="2">
                  <c:v>7.4999999999999997E-2</c:v>
                </c:pt>
                <c:pt idx="3">
                  <c:v>0.17199999999999999</c:v>
                </c:pt>
                <c:pt idx="4">
                  <c:v>0.28999999999999998</c:v>
                </c:pt>
                <c:pt idx="5" formatCode="0.00">
                  <c:v>0.4</c:v>
                </c:pt>
                <c:pt idx="6" formatCode="0.00">
                  <c:v>0.56999999999999995</c:v>
                </c:pt>
                <c:pt idx="7" formatCode="0.00">
                  <c:v>0.76</c:v>
                </c:pt>
                <c:pt idx="8" formatCode="0.00">
                  <c:v>1.1200000000000001</c:v>
                </c:pt>
                <c:pt idx="9" formatCode="0.00">
                  <c:v>1.45</c:v>
                </c:pt>
                <c:pt idx="10" formatCode="0.0">
                  <c:v>1.74</c:v>
                </c:pt>
                <c:pt idx="11" formatCode="0.0">
                  <c:v>2.2200000000000002</c:v>
                </c:pt>
                <c:pt idx="12" formatCode="0.0">
                  <c:v>2.7742553710190823</c:v>
                </c:pt>
                <c:pt idx="13" formatCode="0.0">
                  <c:v>3.5732130540631988</c:v>
                </c:pt>
                <c:pt idx="14" formatCode="0.0">
                  <c:v>4.7084485644385978</c:v>
                </c:pt>
                <c:pt idx="15" formatCode="0.0">
                  <c:v>6.2992015949398894</c:v>
                </c:pt>
                <c:pt idx="16" formatCode="0.0">
                  <c:v>8.4943804662013065</c:v>
                </c:pt>
                <c:pt idx="17" formatCode="0.0">
                  <c:v>11.468737138431598</c:v>
                </c:pt>
                <c:pt idx="18" formatCode="0.0">
                  <c:v>15.408538781007241</c:v>
                </c:pt>
                <c:pt idx="19" formatCode="0.0">
                  <c:v>20.482550443794807</c:v>
                </c:pt>
                <c:pt idx="20" formatCode="0.0">
                  <c:v>26.79899271951928</c:v>
                </c:pt>
                <c:pt idx="21" formatCode="0.0">
                  <c:v>34.359740723806752</c:v>
                </c:pt>
                <c:pt idx="22" formatCode="0.0">
                  <c:v>43.034456715434956</c:v>
                </c:pt>
                <c:pt idx="23" formatCode="0.0">
                  <c:v>52.576303742108109</c:v>
                </c:pt>
                <c:pt idx="24" formatCode="0.0">
                  <c:v>62.678532782001128</c:v>
                </c:pt>
                <c:pt idx="25" formatCode="0.0">
                  <c:v>73.043224292395266</c:v>
                </c:pt>
                <c:pt idx="26" formatCode="0.0">
                  <c:v>83.428970889698519</c:v>
                </c:pt>
                <c:pt idx="27" formatCode="0.0">
                  <c:v>93.665841782179484</c:v>
                </c:pt>
                <c:pt idx="28" formatCode="0.0">
                  <c:v>103.64730236109698</c:v>
                </c:pt>
                <c:pt idx="29" formatCode="0.0">
                  <c:v>113.31371249347201</c:v>
                </c:pt>
                <c:pt idx="30" formatCode="0.0">
                  <c:v>122.63657546264</c:v>
                </c:pt>
                <c:pt idx="31" formatCode="0.0">
                  <c:v>131.60670247220878</c:v>
                </c:pt>
                <c:pt idx="32" formatCode="0.0">
                  <c:v>140.22629821721287</c:v>
                </c:pt>
                <c:pt idx="33" formatCode="0.0">
                  <c:v>148.50399646218867</c:v>
                </c:pt>
                <c:pt idx="34" formatCode="0.0">
                  <c:v>156.45186055613797</c:v>
                </c:pt>
                <c:pt idx="35" formatCode="0.0">
                  <c:v>164.08361403728154</c:v>
                </c:pt>
                <c:pt idx="36" formatCode="0.0">
                  <c:v>171.41361559696918</c:v>
                </c:pt>
                <c:pt idx="37" formatCode="0.0">
                  <c:v>178.4562757925795</c:v>
                </c:pt>
                <c:pt idx="38" formatCode="0.0">
                  <c:v>185.22573283354004</c:v>
                </c:pt>
                <c:pt idx="39" formatCode="0.0">
                  <c:v>191.73567907901094</c:v>
                </c:pt>
                <c:pt idx="40" formatCode="0.0">
                  <c:v>197.99927460923601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8-49B0-BD96-210AE41682D4}"/>
            </c:ext>
          </c:extLst>
        </c:ser>
        <c:ser>
          <c:idx val="1"/>
          <c:order val="1"/>
          <c:tx>
            <c:strRef>
              <c:f>'main calculations'!$H$9</c:f>
              <c:strCache>
                <c:ptCount val="1"/>
                <c:pt idx="0">
                  <c:v>Number of ICEVs (millions)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'main calculations'!$A$10:$A$50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'main calculations'!$H$10:$H$50</c:f>
              <c:numCache>
                <c:formatCode>0.0</c:formatCode>
                <c:ptCount val="41"/>
                <c:pt idx="0">
                  <c:v>230.17799999999997</c:v>
                </c:pt>
                <c:pt idx="1">
                  <c:v>232.26970000000003</c:v>
                </c:pt>
                <c:pt idx="2">
                  <c:v>231.03200000000001</c:v>
                </c:pt>
                <c:pt idx="3">
                  <c:v>233.14190000000002</c:v>
                </c:pt>
                <c:pt idx="4">
                  <c:v>237.38690000000003</c:v>
                </c:pt>
                <c:pt idx="5">
                  <c:v>239.59440000000001</c:v>
                </c:pt>
                <c:pt idx="6">
                  <c:v>243.95480000000003</c:v>
                </c:pt>
                <c:pt idx="7">
                  <c:v>244.78790000000001</c:v>
                </c:pt>
                <c:pt idx="8">
                  <c:v>247.5535997737021</c:v>
                </c:pt>
                <c:pt idx="9">
                  <c:v>249.61461543972624</c:v>
                </c:pt>
                <c:pt idx="10">
                  <c:v>250.57993851692481</c:v>
                </c:pt>
                <c:pt idx="11">
                  <c:v>251.36153820950943</c:v>
                </c:pt>
                <c:pt idx="12">
                  <c:v>252.07519052953788</c:v>
                </c:pt>
                <c:pt idx="13">
                  <c:v>252.55048007599655</c:v>
                </c:pt>
                <c:pt idx="14">
                  <c:v>252.69586303127141</c:v>
                </c:pt>
                <c:pt idx="15">
                  <c:v>252.39213155874862</c:v>
                </c:pt>
                <c:pt idx="16">
                  <c:v>251.49040935325561</c:v>
                </c:pt>
                <c:pt idx="17">
                  <c:v>249.81597663012258</c:v>
                </c:pt>
                <c:pt idx="18">
                  <c:v>247.18259855638965</c:v>
                </c:pt>
                <c:pt idx="19">
                  <c:v>243.42154258028904</c:v>
                </c:pt>
                <c:pt idx="20">
                  <c:v>238.42462076968496</c:v>
                </c:pt>
                <c:pt idx="21">
                  <c:v>232.18999083284348</c:v>
                </c:pt>
                <c:pt idx="22">
                  <c:v>224.84802349899849</c:v>
                </c:pt>
                <c:pt idx="23">
                  <c:v>216.64558887339746</c:v>
                </c:pt>
                <c:pt idx="24">
                  <c:v>207.88946929658192</c:v>
                </c:pt>
                <c:pt idx="25">
                  <c:v>198.87761779658064</c:v>
                </c:pt>
                <c:pt idx="26">
                  <c:v>189.85147540972224</c:v>
                </c:pt>
                <c:pt idx="27">
                  <c:v>180.98100674873837</c:v>
                </c:pt>
                <c:pt idx="28">
                  <c:v>172.37278041247544</c:v>
                </c:pt>
                <c:pt idx="29">
                  <c:v>164.08647069396824</c:v>
                </c:pt>
                <c:pt idx="30">
                  <c:v>156.1506086407374</c:v>
                </c:pt>
                <c:pt idx="31">
                  <c:v>148.57441755168549</c:v>
                </c:pt>
                <c:pt idx="32">
                  <c:v>141.35572740680081</c:v>
                </c:pt>
                <c:pt idx="33">
                  <c:v>134.48593928994504</c:v>
                </c:pt>
                <c:pt idx="34">
                  <c:v>127.95302487475638</c:v>
                </c:pt>
                <c:pt idx="35">
                  <c:v>121.74329582076726</c:v>
                </c:pt>
                <c:pt idx="36">
                  <c:v>115.84242881036982</c:v>
                </c:pt>
                <c:pt idx="37">
                  <c:v>110.23604883679616</c:v>
                </c:pt>
                <c:pt idx="38">
                  <c:v>104.91005341898247</c:v>
                </c:pt>
                <c:pt idx="39">
                  <c:v>99.850786104774159</c:v>
                </c:pt>
                <c:pt idx="40">
                  <c:v>95.045122900467959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8-49B0-BD96-210AE4168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641024"/>
        <c:axId val="1848651424"/>
      </c:areaChart>
      <c:catAx>
        <c:axId val="184864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651424"/>
        <c:crosses val="autoZero"/>
        <c:auto val="1"/>
        <c:lblAlgn val="ctr"/>
        <c:lblOffset val="100"/>
        <c:tickMarkSkip val="1"/>
        <c:noMultiLvlLbl val="0"/>
      </c:catAx>
      <c:valAx>
        <c:axId val="18486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Cars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6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Acres of corn for ethanol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for plots'!$P$2</c:f>
              <c:strCache>
                <c:ptCount val="1"/>
                <c:pt idx="0">
                  <c:v>25% sales by 2030</c:v>
                </c:pt>
              </c:strCache>
            </c:strRef>
          </c:tx>
          <c:spPr>
            <a:ln w="571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'data for plots'!$O$3:$O$43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plots'!$P$3:$P$43</c:f>
              <c:numCache>
                <c:formatCode>0.00</c:formatCode>
                <c:ptCount val="41"/>
                <c:pt idx="0">
                  <c:v>37.652274947368412</c:v>
                </c:pt>
                <c:pt idx="1">
                  <c:v>37.223456292906178</c:v>
                </c:pt>
                <c:pt idx="2">
                  <c:v>36.273795695006619</c:v>
                </c:pt>
                <c:pt idx="3">
                  <c:v>35.862282238349273</c:v>
                </c:pt>
                <c:pt idx="4">
                  <c:v>35.774293823756508</c:v>
                </c:pt>
                <c:pt idx="5">
                  <c:v>35.374288344050491</c:v>
                </c:pt>
                <c:pt idx="6">
                  <c:v>35.287195523149855</c:v>
                </c:pt>
                <c:pt idx="7">
                  <c:v>34.689213289363721</c:v>
                </c:pt>
                <c:pt idx="8">
                  <c:v>34.369283454659062</c:v>
                </c:pt>
                <c:pt idx="9">
                  <c:v>33.952203895990145</c:v>
                </c:pt>
                <c:pt idx="10">
                  <c:v>33.391888837389843</c:v>
                </c:pt>
                <c:pt idx="11">
                  <c:v>32.816347418717221</c:v>
                </c:pt>
                <c:pt idx="12">
                  <c:v>32.22680233891905</c:v>
                </c:pt>
                <c:pt idx="13">
                  <c:v>31.62810392367723</c:v>
                </c:pt>
                <c:pt idx="14">
                  <c:v>31.016579815072099</c:v>
                </c:pt>
                <c:pt idx="15">
                  <c:v>30.38801538134858</c:v>
                </c:pt>
                <c:pt idx="16">
                  <c:v>29.737661284299147</c:v>
                </c:pt>
                <c:pt idx="17">
                  <c:v>29.060296252001393</c:v>
                </c:pt>
                <c:pt idx="18">
                  <c:v>28.350370251513969</c:v>
                </c:pt>
                <c:pt idx="19">
                  <c:v>27.6022549367305</c:v>
                </c:pt>
                <c:pt idx="20">
                  <c:v>26.810623550396954</c:v>
                </c:pt>
                <c:pt idx="21">
                  <c:v>25.970967056848917</c:v>
                </c:pt>
                <c:pt idx="22">
                  <c:v>25.080223632728821</c:v>
                </c:pt>
                <c:pt idx="23">
                  <c:v>24.137455243385592</c:v>
                </c:pt>
                <c:pt idx="24">
                  <c:v>23.144456579066503</c:v>
                </c:pt>
                <c:pt idx="25">
                  <c:v>22.106147235741581</c:v>
                </c:pt>
                <c:pt idx="26">
                  <c:v>21.030602862499556</c:v>
                </c:pt>
                <c:pt idx="27">
                  <c:v>19.928642553952361</c:v>
                </c:pt>
                <c:pt idx="28">
                  <c:v>18.813000236091597</c:v>
                </c:pt>
                <c:pt idx="29">
                  <c:v>17.697227505444491</c:v>
                </c:pt>
                <c:pt idx="30">
                  <c:v>16.594550172439252</c:v>
                </c:pt>
                <c:pt idx="31">
                  <c:v>15.516896091703929</c:v>
                </c:pt>
                <c:pt idx="32">
                  <c:v>14.474236128424799</c:v>
                </c:pt>
                <c:pt idx="33">
                  <c:v>13.474276128968242</c:v>
                </c:pt>
                <c:pt idx="34">
                  <c:v>12.522451683028319</c:v>
                </c:pt>
                <c:pt idx="35">
                  <c:v>11.622133167874388</c:v>
                </c:pt>
                <c:pt idx="36">
                  <c:v>10.77494400298929</c:v>
                </c:pt>
                <c:pt idx="37">
                  <c:v>9.9811143420296062</c:v>
                </c:pt>
                <c:pt idx="38">
                  <c:v>9.2398192212769796</c:v>
                </c:pt>
                <c:pt idx="39">
                  <c:v>8.5494741603784323</c:v>
                </c:pt>
                <c:pt idx="40">
                  <c:v>7.9079783996521478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53-4D35-A6D9-1BBE5C056132}"/>
            </c:ext>
          </c:extLst>
        </c:ser>
        <c:ser>
          <c:idx val="1"/>
          <c:order val="1"/>
          <c:tx>
            <c:strRef>
              <c:f>'data for plots'!$Q$2</c:f>
              <c:strCache>
                <c:ptCount val="1"/>
                <c:pt idx="0">
                  <c:v>50% sales by 2030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'data for plots'!$O$3:$O$43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plots'!$Q$3:$Q$43</c:f>
              <c:numCache>
                <c:formatCode>0.00</c:formatCode>
                <c:ptCount val="41"/>
                <c:pt idx="0">
                  <c:v>37.652274947368412</c:v>
                </c:pt>
                <c:pt idx="1">
                  <c:v>37.223456292906178</c:v>
                </c:pt>
                <c:pt idx="2">
                  <c:v>36.273795695006619</c:v>
                </c:pt>
                <c:pt idx="3">
                  <c:v>35.862282238349273</c:v>
                </c:pt>
                <c:pt idx="4">
                  <c:v>35.774293823756508</c:v>
                </c:pt>
                <c:pt idx="5">
                  <c:v>35.374288344050491</c:v>
                </c:pt>
                <c:pt idx="6">
                  <c:v>35.287195523149855</c:v>
                </c:pt>
                <c:pt idx="7">
                  <c:v>34.689213289363721</c:v>
                </c:pt>
                <c:pt idx="8">
                  <c:v>34.369283454659062</c:v>
                </c:pt>
                <c:pt idx="9">
                  <c:v>33.952203895990145</c:v>
                </c:pt>
                <c:pt idx="10">
                  <c:v>33.391888837389843</c:v>
                </c:pt>
                <c:pt idx="11">
                  <c:v>32.816347418717221</c:v>
                </c:pt>
                <c:pt idx="12">
                  <c:v>32.1704985100938</c:v>
                </c:pt>
                <c:pt idx="13">
                  <c:v>31.496023867130322</c:v>
                </c:pt>
                <c:pt idx="14">
                  <c:v>30.783349486094714</c:v>
                </c:pt>
                <c:pt idx="15">
                  <c:v>30.021576537426064</c:v>
                </c:pt>
                <c:pt idx="16">
                  <c:v>29.198990887978979</c:v>
                </c:pt>
                <c:pt idx="17">
                  <c:v>28.304074339538086</c:v>
                </c:pt>
                <c:pt idx="18">
                  <c:v>27.327115999302023</c:v>
                </c:pt>
                <c:pt idx="19">
                  <c:v>26.262351487410388</c:v>
                </c:pt>
                <c:pt idx="20">
                  <c:v>25.110252847803071</c:v>
                </c:pt>
                <c:pt idx="21">
                  <c:v>23.879246002621027</c:v>
                </c:pt>
                <c:pt idx="22">
                  <c:v>22.585992369618083</c:v>
                </c:pt>
                <c:pt idx="23">
                  <c:v>21.253715292163811</c:v>
                </c:pt>
                <c:pt idx="24">
                  <c:v>19.908872243125163</c:v>
                </c:pt>
                <c:pt idx="25">
                  <c:v>18.577282714478024</c:v>
                </c:pt>
                <c:pt idx="26">
                  <c:v>17.281002419465015</c:v>
                </c:pt>
                <c:pt idx="27">
                  <c:v>16.03668259082303</c:v>
                </c:pt>
                <c:pt idx="28">
                  <c:v>14.855373612157543</c:v>
                </c:pt>
                <c:pt idx="29">
                  <c:v>13.743260238784398</c:v>
                </c:pt>
                <c:pt idx="30">
                  <c:v>12.702767529627696</c:v>
                </c:pt>
                <c:pt idx="31">
                  <c:v>11.733657551762358</c:v>
                </c:pt>
                <c:pt idx="32">
                  <c:v>10.833940200014844</c:v>
                </c:pt>
                <c:pt idx="33">
                  <c:v>10.000557144349518</c:v>
                </c:pt>
                <c:pt idx="34">
                  <c:v>9.2298631071945643</c:v>
                </c:pt>
                <c:pt idx="35">
                  <c:v>8.5179491011609176</c:v>
                </c:pt>
                <c:pt idx="36">
                  <c:v>7.8608513250633498</c:v>
                </c:pt>
                <c:pt idx="37">
                  <c:v>7.2546810611968127</c:v>
                </c:pt>
                <c:pt idx="38">
                  <c:v>6.695701652948836</c:v>
                </c:pt>
                <c:pt idx="39">
                  <c:v>6.1803708373456345</c:v>
                </c:pt>
                <c:pt idx="40">
                  <c:v>5.7053608397873674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53-4D35-A6D9-1BBE5C056132}"/>
            </c:ext>
          </c:extLst>
        </c:ser>
        <c:ser>
          <c:idx val="2"/>
          <c:order val="2"/>
          <c:tx>
            <c:strRef>
              <c:f>'data for plots'!$R$2</c:f>
              <c:strCache>
                <c:ptCount val="1"/>
                <c:pt idx="0">
                  <c:v>75% sales by 2030</c:v>
                </c:pt>
              </c:strCache>
            </c:strRef>
          </c:tx>
          <c:spPr>
            <a:ln w="571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 for plots'!$O$3:$O$43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plots'!$R$3:$R$43</c:f>
              <c:numCache>
                <c:formatCode>0.00</c:formatCode>
                <c:ptCount val="41"/>
                <c:pt idx="0">
                  <c:v>37.652274947368412</c:v>
                </c:pt>
                <c:pt idx="1">
                  <c:v>37.223456292906178</c:v>
                </c:pt>
                <c:pt idx="2">
                  <c:v>36.273795695006619</c:v>
                </c:pt>
                <c:pt idx="3">
                  <c:v>35.862282238349273</c:v>
                </c:pt>
                <c:pt idx="4">
                  <c:v>35.774293823756508</c:v>
                </c:pt>
                <c:pt idx="5">
                  <c:v>35.374288344050491</c:v>
                </c:pt>
                <c:pt idx="6">
                  <c:v>35.287195523149855</c:v>
                </c:pt>
                <c:pt idx="7">
                  <c:v>34.689213289363721</c:v>
                </c:pt>
                <c:pt idx="8">
                  <c:v>34.369283454659062</c:v>
                </c:pt>
                <c:pt idx="9">
                  <c:v>33.952203895990145</c:v>
                </c:pt>
                <c:pt idx="10">
                  <c:v>33.391888837389843</c:v>
                </c:pt>
                <c:pt idx="11">
                  <c:v>32.816347418717221</c:v>
                </c:pt>
                <c:pt idx="12">
                  <c:v>32.097022460682318</c:v>
                </c:pt>
                <c:pt idx="13">
                  <c:v>31.319608444517829</c:v>
                </c:pt>
                <c:pt idx="14">
                  <c:v>30.465410069736411</c:v>
                </c:pt>
                <c:pt idx="15">
                  <c:v>29.514744040680494</c:v>
                </c:pt>
                <c:pt idx="16">
                  <c:v>28.450084857932541</c:v>
                </c:pt>
                <c:pt idx="17">
                  <c:v>27.260882900237274</c:v>
                </c:pt>
                <c:pt idx="18">
                  <c:v>25.949063208779567</c:v>
                </c:pt>
                <c:pt idx="19">
                  <c:v>24.532772824958062</c:v>
                </c:pt>
                <c:pt idx="20">
                  <c:v>23.045449749481993</c:v>
                </c:pt>
                <c:pt idx="21">
                  <c:v>21.529284004866387</c:v>
                </c:pt>
                <c:pt idx="22">
                  <c:v>20.025880473238278</c:v>
                </c:pt>
                <c:pt idx="23">
                  <c:v>18.568800647497149</c:v>
                </c:pt>
                <c:pt idx="24">
                  <c:v>17.180629790864494</c:v>
                </c:pt>
                <c:pt idx="25">
                  <c:v>15.87387361033157</c:v>
                </c:pt>
                <c:pt idx="26">
                  <c:v>14.653538604024146</c:v>
                </c:pt>
                <c:pt idx="27">
                  <c:v>13.51976175131256</c:v>
                </c:pt>
                <c:pt idx="28">
                  <c:v>12.469826848324578</c:v>
                </c:pt>
                <c:pt idx="29">
                  <c:v>11.499508416231571</c:v>
                </c:pt>
                <c:pt idx="30">
                  <c:v>10.603897502420972</c:v>
                </c:pt>
                <c:pt idx="31">
                  <c:v>9.777882197902521</c:v>
                </c:pt>
                <c:pt idx="32">
                  <c:v>9.0164145890514256</c:v>
                </c:pt>
                <c:pt idx="33">
                  <c:v>8.3146511483606567</c:v>
                </c:pt>
                <c:pt idx="34">
                  <c:v>7.6680201808825439</c:v>
                </c:pt>
                <c:pt idx="35">
                  <c:v>7.0722481550189107</c:v>
                </c:pt>
                <c:pt idx="36">
                  <c:v>6.5233634061694588</c:v>
                </c:pt>
                <c:pt idx="37">
                  <c:v>6.0176878031241463</c:v>
                </c:pt>
                <c:pt idx="38">
                  <c:v>5.5518223768499624</c:v>
                </c:pt>
                <c:pt idx="39">
                  <c:v>5.1226302728914188</c:v>
                </c:pt>
                <c:pt idx="40">
                  <c:v>4.7272188827691561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53-4D35-A6D9-1BBE5C056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29072"/>
        <c:axId val="531930736"/>
      </c:scatterChart>
      <c:valAx>
        <c:axId val="5319290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0736"/>
        <c:crosses val="autoZero"/>
        <c:crossBetween val="midCat"/>
      </c:valAx>
      <c:valAx>
        <c:axId val="5319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Corn ethanol area (million acres)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2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baseline="0">
                <a:effectLst/>
              </a:rPr>
              <a:t>Fraction of total EV fleet electricity, baseline of 7%  corn ethanol land substitution </a:t>
            </a:r>
            <a:r>
              <a:rPr lang="en-US" sz="144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for plots'!$U$2</c:f>
              <c:strCache>
                <c:ptCount val="1"/>
                <c:pt idx="0">
                  <c:v>25% sales by 2030</c:v>
                </c:pt>
              </c:strCache>
            </c:strRef>
          </c:tx>
          <c:spPr>
            <a:ln w="571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'data for plots'!$T$3:$T$43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plots'!$U$3:$U$43</c:f>
              <c:numCache>
                <c:formatCode>General</c:formatCode>
                <c:ptCount val="41"/>
                <c:pt idx="15" formatCode="0.0%">
                  <c:v>0.11492142986757703</c:v>
                </c:pt>
                <c:pt idx="16" formatCode="0.0%">
                  <c:v>0.37195522757223581</c:v>
                </c:pt>
                <c:pt idx="17" formatCode="0.0%">
                  <c:v>0.6171532452675057</c:v>
                </c:pt>
                <c:pt idx="18" formatCode="0.0%">
                  <c:v>0.7677793692358833</c:v>
                </c:pt>
                <c:pt idx="19" formatCode="0.0%">
                  <c:v>0.85239665269598586</c:v>
                </c:pt>
                <c:pt idx="20" formatCode="0.0%">
                  <c:v>0.89232630709054561</c:v>
                </c:pt>
                <c:pt idx="21" formatCode="0.0%">
                  <c:v>0.9030965516774826</c:v>
                </c:pt>
                <c:pt idx="22" formatCode="0.0%">
                  <c:v>0.89575743555371778</c:v>
                </c:pt>
                <c:pt idx="23" formatCode="0.0%">
                  <c:v>0.87798548376857266</c:v>
                </c:pt>
                <c:pt idx="24" formatCode="0.0%">
                  <c:v>0.85496852745629803</c:v>
                </c:pt>
                <c:pt idx="25" formatCode="0.0%">
                  <c:v>0.83009249626504067</c:v>
                </c:pt>
                <c:pt idx="26" formatCode="0.0%">
                  <c:v>0.8054632309987535</c:v>
                </c:pt>
                <c:pt idx="27" formatCode="0.0%">
                  <c:v>0.78229707556311845</c:v>
                </c:pt>
                <c:pt idx="28" formatCode="0.0%">
                  <c:v>0.76120978918879811</c:v>
                </c:pt>
                <c:pt idx="29" formatCode="0.0%">
                  <c:v>0.74242747031951217</c:v>
                </c:pt>
                <c:pt idx="30" formatCode="0.0%">
                  <c:v>0.72593762478743262</c:v>
                </c:pt>
                <c:pt idx="31" formatCode="0.0%">
                  <c:v>0.71159421447887927</c:v>
                </c:pt>
                <c:pt idx="32" formatCode="0.0%">
                  <c:v>0.69918763822324148</c:v>
                </c:pt>
                <c:pt idx="33" formatCode="0.0%">
                  <c:v>0.68848869160964299</c:v>
                </c:pt>
                <c:pt idx="34" formatCode="0.0%">
                  <c:v>0.67927404755820664</c:v>
                </c:pt>
                <c:pt idx="35" formatCode="0.0%">
                  <c:v>0.67133933885998176</c:v>
                </c:pt>
                <c:pt idx="36" formatCode="0.0%">
                  <c:v>0.66450445902247368</c:v>
                </c:pt>
                <c:pt idx="37" formatCode="0.0%">
                  <c:v>0.65861434756584725</c:v>
                </c:pt>
                <c:pt idx="38" formatCode="0.0%">
                  <c:v>0.65353741186742331</c:v>
                </c:pt>
                <c:pt idx="39" formatCode="0.0%">
                  <c:v>0.6491629075439187</c:v>
                </c:pt>
                <c:pt idx="40" formatCode="0.0%">
                  <c:v>0.64539803193610557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AB-49C5-BCCD-B29A32D6BF6C}"/>
            </c:ext>
          </c:extLst>
        </c:ser>
        <c:ser>
          <c:idx val="1"/>
          <c:order val="1"/>
          <c:tx>
            <c:strRef>
              <c:f>'data for plots'!$V$2</c:f>
              <c:strCache>
                <c:ptCount val="1"/>
                <c:pt idx="0">
                  <c:v>50% sales by 2030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'data for plots'!$T$3:$T$43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plots'!$V$3:$V$43</c:f>
              <c:numCache>
                <c:formatCode>General</c:formatCode>
                <c:ptCount val="41"/>
                <c:pt idx="15" formatCode="0.0%">
                  <c:v>0.10844665211241541</c:v>
                </c:pt>
                <c:pt idx="16" formatCode="0.0%">
                  <c:v>0.32490119788594451</c:v>
                </c:pt>
                <c:pt idx="17" formatCode="0.0%">
                  <c:v>0.51851557710100638</c:v>
                </c:pt>
                <c:pt idx="18" formatCode="0.0%">
                  <c:v>0.62051273671729867</c:v>
                </c:pt>
                <c:pt idx="19" formatCode="0.0%">
                  <c:v>0.66727872776760155</c:v>
                </c:pt>
                <c:pt idx="20" formatCode="0.0%">
                  <c:v>0.68285767404498132</c:v>
                </c:pt>
                <c:pt idx="21" formatCode="0.0%">
                  <c:v>0.68227786614034636</c:v>
                </c:pt>
                <c:pt idx="22" formatCode="0.0%">
                  <c:v>0.67441033094140612</c:v>
                </c:pt>
                <c:pt idx="23" formatCode="0.0%">
                  <c:v>0.66413331078450877</c:v>
                </c:pt>
                <c:pt idx="24" formatCode="0.0%">
                  <c:v>0.65387073568402709</c:v>
                </c:pt>
                <c:pt idx="25" formatCode="0.0%">
                  <c:v>0.6446402853800457</c:v>
                </c:pt>
                <c:pt idx="26" formatCode="0.0%">
                  <c:v>0.63672920963272128</c:v>
                </c:pt>
                <c:pt idx="27" formatCode="0.0%">
                  <c:v>0.6300944646262947</c:v>
                </c:pt>
                <c:pt idx="28" formatCode="0.0%">
                  <c:v>0.62457440349349236</c:v>
                </c:pt>
                <c:pt idx="29" formatCode="0.0%">
                  <c:v>0.6199868327283734</c:v>
                </c:pt>
                <c:pt idx="30" formatCode="0.0%">
                  <c:v>0.6161672176847971</c:v>
                </c:pt>
                <c:pt idx="31" formatCode="0.0%">
                  <c:v>0.6129791965729342</c:v>
                </c:pt>
                <c:pt idx="32" formatCode="0.0%">
                  <c:v>0.61031394787874393</c:v>
                </c:pt>
                <c:pt idx="33" formatCode="0.0%">
                  <c:v>0.60808596384956437</c:v>
                </c:pt>
                <c:pt idx="34" formatCode="0.0%">
                  <c:v>0.60622831119933185</c:v>
                </c:pt>
                <c:pt idx="35" formatCode="0.0%">
                  <c:v>0.60468845372775637</c:v>
                </c:pt>
                <c:pt idx="36" formatCode="0.0%">
                  <c:v>0.60342488808170169</c:v>
                </c:pt>
                <c:pt idx="37" formatCode="0.0%">
                  <c:v>0.60240454283542411</c:v>
                </c:pt>
                <c:pt idx="38" formatCode="0.0%">
                  <c:v>0.60160080518844095</c:v>
                </c:pt>
                <c:pt idx="39" formatCode="0.0%">
                  <c:v>0.60099203492015474</c:v>
                </c:pt>
                <c:pt idx="40" formatCode="0.0%">
                  <c:v>0.60056044644652462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AB-49C5-BCCD-B29A32D6BF6C}"/>
            </c:ext>
          </c:extLst>
        </c:ser>
        <c:ser>
          <c:idx val="2"/>
          <c:order val="2"/>
          <c:tx>
            <c:strRef>
              <c:f>'data for plots'!$W$2</c:f>
              <c:strCache>
                <c:ptCount val="1"/>
                <c:pt idx="0">
                  <c:v>75% sales by 2030</c:v>
                </c:pt>
              </c:strCache>
            </c:strRef>
          </c:tx>
          <c:spPr>
            <a:ln w="571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'data for plots'!$T$3:$T$43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plots'!$W$3:$W$43</c:f>
              <c:numCache>
                <c:formatCode>General</c:formatCode>
                <c:ptCount val="41"/>
                <c:pt idx="15" formatCode="0.0%">
                  <c:v>0.10506679223697299</c:v>
                </c:pt>
                <c:pt idx="16" formatCode="0.0%">
                  <c:v>0.29550369654093489</c:v>
                </c:pt>
                <c:pt idx="17" formatCode="0.0%">
                  <c:v>0.46205279578308456</c:v>
                </c:pt>
                <c:pt idx="18" formatCode="0.0%">
                  <c:v>0.54341001417949353</c:v>
                </c:pt>
                <c:pt idx="19" formatCode="0.0%">
                  <c:v>0.57924477698530807</c:v>
                </c:pt>
                <c:pt idx="20" formatCode="0.0%">
                  <c:v>0.59270706100941573</c:v>
                </c:pt>
                <c:pt idx="21" formatCode="0.0%">
                  <c:v>0.59623284668765109</c:v>
                </c:pt>
                <c:pt idx="22" formatCode="0.0%">
                  <c:v>0.59588888060534306</c:v>
                </c:pt>
                <c:pt idx="23" formatCode="0.0%">
                  <c:v>0.59431360691586299</c:v>
                </c:pt>
                <c:pt idx="24" formatCode="0.0%">
                  <c:v>0.59251998175736009</c:v>
                </c:pt>
                <c:pt idx="25" formatCode="0.0%">
                  <c:v>0.59084628486268997</c:v>
                </c:pt>
                <c:pt idx="26" formatCode="0.0%">
                  <c:v>0.58938121661690379</c:v>
                </c:pt>
                <c:pt idx="27" formatCode="0.0%">
                  <c:v>0.58813059532630663</c:v>
                </c:pt>
                <c:pt idx="28" formatCode="0.0%">
                  <c:v>0.58707709215666626</c:v>
                </c:pt>
                <c:pt idx="29" formatCode="0.0%">
                  <c:v>0.58620000192387234</c:v>
                </c:pt>
                <c:pt idx="30" formatCode="0.0%">
                  <c:v>0.58548096290158147</c:v>
                </c:pt>
                <c:pt idx="31" formatCode="0.0%">
                  <c:v>0.58490501352457835</c:v>
                </c:pt>
                <c:pt idx="32" formatCode="0.0%">
                  <c:v>0.58446026212448865</c:v>
                </c:pt>
                <c:pt idx="33" formatCode="0.0%">
                  <c:v>0.58413726446971248</c:v>
                </c:pt>
                <c:pt idx="34" formatCode="0.0%">
                  <c:v>0.58392844240600139</c:v>
                </c:pt>
                <c:pt idx="35" formatCode="0.0%">
                  <c:v>0.5838276201177014</c:v>
                </c:pt>
                <c:pt idx="36" formatCode="0.0%">
                  <c:v>0.58382967477575176</c:v>
                </c:pt>
                <c:pt idx="37" formatCode="0.0%">
                  <c:v>0.58393027887029592</c:v>
                </c:pt>
                <c:pt idx="38" formatCode="0.0%">
                  <c:v>0.58412571111033751</c:v>
                </c:pt>
                <c:pt idx="39" formatCode="0.0%">
                  <c:v>0.58441271722897659</c:v>
                </c:pt>
                <c:pt idx="40" formatCode="0.0%">
                  <c:v>0.58478840680977606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AB-49C5-BCCD-B29A32D6BF6C}"/>
            </c:ext>
          </c:extLst>
        </c:ser>
        <c:ser>
          <c:idx val="3"/>
          <c:order val="3"/>
          <c:tx>
            <c:v>25% sales, 10% area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for plots'!$T$18:$T$43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xVal>
          <c:yVal>
            <c:numRef>
              <c:f>'data for plots'!$X$18:$X$43</c:f>
              <c:numCache>
                <c:formatCode>0.0%</c:formatCode>
                <c:ptCount val="26"/>
                <c:pt idx="0">
                  <c:v>0.16417347123939574</c:v>
                </c:pt>
                <c:pt idx="1">
                  <c:v>0.53136461081747965</c:v>
                </c:pt>
                <c:pt idx="2">
                  <c:v>0.88164749323929381</c:v>
                </c:pt>
                <c:pt idx="3">
                  <c:v>1.0968276703369759</c:v>
                </c:pt>
                <c:pt idx="4">
                  <c:v>1.2177095038514081</c:v>
                </c:pt>
                <c:pt idx="5">
                  <c:v>1.274751867272208</c:v>
                </c:pt>
                <c:pt idx="6">
                  <c:v>1.2901379309678325</c:v>
                </c:pt>
                <c:pt idx="7">
                  <c:v>1.2796534793624541</c:v>
                </c:pt>
                <c:pt idx="8">
                  <c:v>1.2542649768122465</c:v>
                </c:pt>
                <c:pt idx="9">
                  <c:v>1.2213836106518543</c:v>
                </c:pt>
                <c:pt idx="10">
                  <c:v>1.1858464232357726</c:v>
                </c:pt>
                <c:pt idx="11">
                  <c:v>1.1506617585696477</c:v>
                </c:pt>
                <c:pt idx="12">
                  <c:v>1.117567250804455</c:v>
                </c:pt>
                <c:pt idx="13">
                  <c:v>1.0874425559839971</c:v>
                </c:pt>
                <c:pt idx="14">
                  <c:v>1.0606106718850172</c:v>
                </c:pt>
                <c:pt idx="15">
                  <c:v>1.0370537496963321</c:v>
                </c:pt>
                <c:pt idx="16">
                  <c:v>1.0165631635412562</c:v>
                </c:pt>
                <c:pt idx="17">
                  <c:v>0.99883948317605897</c:v>
                </c:pt>
                <c:pt idx="18">
                  <c:v>0.9835552737280614</c:v>
                </c:pt>
                <c:pt idx="19">
                  <c:v>0.97039149651172385</c:v>
                </c:pt>
                <c:pt idx="20">
                  <c:v>0.95905619837140266</c:v>
                </c:pt>
                <c:pt idx="21">
                  <c:v>0.94929208431781953</c:v>
                </c:pt>
                <c:pt idx="22">
                  <c:v>0.94087763937978153</c:v>
                </c:pt>
                <c:pt idx="23">
                  <c:v>0.93362487409631889</c:v>
                </c:pt>
                <c:pt idx="24">
                  <c:v>0.92737558220559801</c:v>
                </c:pt>
                <c:pt idx="25">
                  <c:v>0.92199718848015044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AB-49C5-BCCD-B29A32D6BF6C}"/>
            </c:ext>
          </c:extLst>
        </c:ser>
        <c:ser>
          <c:idx val="4"/>
          <c:order val="4"/>
          <c:tx>
            <c:v>75% sales, 5% area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for plots'!$T$18:$T$43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xVal>
          <c:yVal>
            <c:numRef>
              <c:f>'data for plots'!$Y$18:$Y$43</c:f>
              <c:numCache>
                <c:formatCode>0.0%</c:formatCode>
                <c:ptCount val="26"/>
                <c:pt idx="0">
                  <c:v>7.5047708740694982E-2</c:v>
                </c:pt>
                <c:pt idx="1">
                  <c:v>0.21107406895781064</c:v>
                </c:pt>
                <c:pt idx="2">
                  <c:v>0.33003771127363185</c:v>
                </c:pt>
                <c:pt idx="3">
                  <c:v>0.3881500101282096</c:v>
                </c:pt>
                <c:pt idx="4">
                  <c:v>0.41374626927522007</c:v>
                </c:pt>
                <c:pt idx="5">
                  <c:v>0.42336218643529688</c:v>
                </c:pt>
                <c:pt idx="6">
                  <c:v>0.42588060477689366</c:v>
                </c:pt>
                <c:pt idx="7">
                  <c:v>0.42563491471810228</c:v>
                </c:pt>
                <c:pt idx="8">
                  <c:v>0.42450971922561642</c:v>
                </c:pt>
                <c:pt idx="9">
                  <c:v>0.4232285583981143</c:v>
                </c:pt>
                <c:pt idx="10">
                  <c:v>0.4220330606162071</c:v>
                </c:pt>
                <c:pt idx="11">
                  <c:v>0.42098658329778843</c:v>
                </c:pt>
                <c:pt idx="12">
                  <c:v>0.4200932823759333</c:v>
                </c:pt>
                <c:pt idx="13">
                  <c:v>0.4193407801119044</c:v>
                </c:pt>
                <c:pt idx="14">
                  <c:v>0.41871428708848024</c:v>
                </c:pt>
                <c:pt idx="15">
                  <c:v>0.41820068778684394</c:v>
                </c:pt>
                <c:pt idx="16">
                  <c:v>0.41778929537469878</c:v>
                </c:pt>
                <c:pt idx="17">
                  <c:v>0.41747161580320619</c:v>
                </c:pt>
                <c:pt idx="18">
                  <c:v>0.41724090319265184</c:v>
                </c:pt>
                <c:pt idx="19">
                  <c:v>0.4170917445757153</c:v>
                </c:pt>
                <c:pt idx="20">
                  <c:v>0.41701972865550097</c:v>
                </c:pt>
                <c:pt idx="21">
                  <c:v>0.41702119626839412</c:v>
                </c:pt>
                <c:pt idx="22">
                  <c:v>0.41709305633592558</c:v>
                </c:pt>
                <c:pt idx="23">
                  <c:v>0.41723265079309829</c:v>
                </c:pt>
                <c:pt idx="24">
                  <c:v>0.41743765516355458</c:v>
                </c:pt>
                <c:pt idx="25">
                  <c:v>0.41770600486412585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AB-49C5-BCCD-B29A32D6B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30320"/>
        <c:axId val="531923664"/>
      </c:scatterChart>
      <c:valAx>
        <c:axId val="531930320"/>
        <c:scaling>
          <c:orientation val="minMax"/>
          <c:max val="2050"/>
          <c:min val="20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23664"/>
        <c:crosses val="autoZero"/>
        <c:crossBetween val="midCat"/>
      </c:valAx>
      <c:valAx>
        <c:axId val="5319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EV electricity demand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Irrigation water savings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for plots'!$AC$1</c:f>
              <c:strCache>
                <c:ptCount val="1"/>
                <c:pt idx="0">
                  <c:v>Irrigation water saved [Gm3 ]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for plots'!$AB$18:$AB$43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xVal>
          <c:yVal>
            <c:numRef>
              <c:f>'data for plots'!$AC$18:$AC$43</c:f>
              <c:numCache>
                <c:formatCode>0.00</c:formatCode>
                <c:ptCount val="26"/>
                <c:pt idx="0" formatCode="0.0">
                  <c:v>0</c:v>
                </c:pt>
                <c:pt idx="1">
                  <c:v>-0.45227275935892503</c:v>
                </c:pt>
                <c:pt idx="2">
                  <c:v>-0.97161211046156137</c:v>
                </c:pt>
                <c:pt idx="3">
                  <c:v>-1.5538923277906025</c:v>
                </c:pt>
                <c:pt idx="4">
                  <c:v>-2.2102123161826484</c:v>
                </c:pt>
                <c:pt idx="5">
                  <c:v>-2.9518566758001623</c:v>
                </c:pt>
                <c:pt idx="6">
                  <c:v>-3.789404755973782</c:v>
                </c:pt>
                <c:pt idx="7">
                  <c:v>-4.7315387049973285</c:v>
                </c:pt>
                <c:pt idx="8">
                  <c:v>-5.7836514112682602</c:v>
                </c:pt>
                <c:pt idx="9">
                  <c:v>-6.9464753475546095</c:v>
                </c:pt>
                <c:pt idx="10">
                  <c:v>-8.2150565790886887</c:v>
                </c:pt>
                <c:pt idx="11">
                  <c:v>-9.5784170840503631</c:v>
                </c:pt>
                <c:pt idx="12">
                  <c:v>-11.020127340074474</c:v>
                </c:pt>
                <c:pt idx="13">
                  <c:v>-12.519760001314163</c:v>
                </c:pt>
                <c:pt idx="14">
                  <c:v>-17.954999999999998</c:v>
                </c:pt>
                <c:pt idx="15">
                  <c:v>-17.954999999999998</c:v>
                </c:pt>
                <c:pt idx="16">
                  <c:v>-17.954999999999998</c:v>
                </c:pt>
                <c:pt idx="17">
                  <c:v>-17.954999999999998</c:v>
                </c:pt>
                <c:pt idx="18">
                  <c:v>-17.954999999999998</c:v>
                </c:pt>
                <c:pt idx="19">
                  <c:v>-17.954999999999998</c:v>
                </c:pt>
                <c:pt idx="20">
                  <c:v>-17.954999999999998</c:v>
                </c:pt>
                <c:pt idx="21">
                  <c:v>-17.954999999999998</c:v>
                </c:pt>
                <c:pt idx="22">
                  <c:v>-17.954999999999998</c:v>
                </c:pt>
                <c:pt idx="23">
                  <c:v>-17.954999999999998</c:v>
                </c:pt>
                <c:pt idx="24">
                  <c:v>-17.954999999999998</c:v>
                </c:pt>
                <c:pt idx="25">
                  <c:v>-17.954999999999998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2-4AA1-9B9E-33846489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447440"/>
        <c:axId val="923452016"/>
      </c:scatterChart>
      <c:valAx>
        <c:axId val="923447440"/>
        <c:scaling>
          <c:orientation val="minMax"/>
          <c:max val="2050"/>
          <c:min val="20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52016"/>
        <c:crosses val="autoZero"/>
        <c:crossBetween val="midCat"/>
      </c:valAx>
      <c:valAx>
        <c:axId val="9234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 Water use reduction [Gm</a:t>
                </a:r>
                <a:r>
                  <a:rPr lang="en-US" sz="1600" b="0" i="0" u="none" strike="noStrike" baseline="30000">
                    <a:effectLst/>
                  </a:rPr>
                  <a:t>3</a:t>
                </a:r>
                <a:r>
                  <a:rPr lang="en-US" sz="1600" b="0" i="0" u="none" strike="noStrike" baseline="0">
                    <a:effectLst/>
                  </a:rPr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4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ethanol and solar pv 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for plots'!$AG$1</c:f>
              <c:strCache>
                <c:ptCount val="1"/>
                <c:pt idx="0">
                  <c:v>Ethanol income [billion $]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for plots'!$AB$13:$AB$43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'data for plots'!$AG$13:$AG$43</c:f>
              <c:numCache>
                <c:formatCode>_("$"* #,##0.00_);_("$"* \(#,##0.00\);_("$"* "-"??_);_(@_)</c:formatCode>
                <c:ptCount val="31"/>
                <c:pt idx="0">
                  <c:v>2.572652099395043</c:v>
                </c:pt>
                <c:pt idx="1">
                  <c:v>2.5548698546304509</c:v>
                </c:pt>
                <c:pt idx="2">
                  <c:v>2.5371739419357313</c:v>
                </c:pt>
                <c:pt idx="3">
                  <c:v>2.5182675347631776</c:v>
                </c:pt>
                <c:pt idx="4">
                  <c:v>2.4978489997409983</c:v>
                </c:pt>
                <c:pt idx="5">
                  <c:v>2.4755570769026494</c:v>
                </c:pt>
                <c:pt idx="6">
                  <c:v>2.4509664328781953</c:v>
                </c:pt>
                <c:pt idx="7">
                  <c:v>2.4235873427781147</c:v>
                </c:pt>
                <c:pt idx="8">
                  <c:v>2.3928723056211143</c:v>
                </c:pt>
                <c:pt idx="9">
                  <c:v>2.358233019446061</c:v>
                </c:pt>
                <c:pt idx="10">
                  <c:v>2.3190712297021179</c:v>
                </c:pt>
                <c:pt idx="11">
                  <c:v>2.2748259163054114</c:v>
                </c:pt>
                <c:pt idx="12">
                  <c:v>2.2250364385202093</c:v>
                </c:pt>
                <c:pt idx="13">
                  <c:v>2.1694162987242835</c:v>
                </c:pt>
                <c:pt idx="14">
                  <c:v>2.1079258209861678</c:v>
                </c:pt>
                <c:pt idx="15">
                  <c:v>2.0408265659611202</c:v>
                </c:pt>
                <c:pt idx="16">
                  <c:v>1.9686992960835057</c:v>
                </c:pt>
                <c:pt idx="17">
                  <c:v>1.8924137188526602</c:v>
                </c:pt>
                <c:pt idx="18">
                  <c:v>1.8130515371717992</c:v>
                </c:pt>
                <c:pt idx="19">
                  <c:v>1.7317991839829945</c:v>
                </c:pt>
                <c:pt idx="20">
                  <c:v>1.6498354960527053</c:v>
                </c:pt>
                <c:pt idx="21">
                  <c:v>1.5682381194903117</c:v>
                </c:pt>
                <c:pt idx="22">
                  <c:v>1.4879225910879257</c:v>
                </c:pt>
                <c:pt idx="23">
                  <c:v>1.4096160004069305</c:v>
                </c:pt>
                <c:pt idx="24">
                  <c:v>1.3338584661471771</c:v>
                </c:pt>
                <c:pt idx="25">
                  <c:v>1.2610222954431436</c:v>
                </c:pt>
                <c:pt idx="26">
                  <c:v>1.1913394497339311</c:v>
                </c:pt>
                <c:pt idx="27">
                  <c:v>1.1249305902665143</c:v>
                </c:pt>
                <c:pt idx="28">
                  <c:v>1.0618317929577585</c:v>
                </c:pt>
                <c:pt idx="29">
                  <c:v>1.0020171885821385</c:v>
                </c:pt>
                <c:pt idx="30">
                  <c:v>0.94541714871123617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77-46B0-94B6-13CB11DC7CD2}"/>
            </c:ext>
          </c:extLst>
        </c:ser>
        <c:ser>
          <c:idx val="1"/>
          <c:order val="1"/>
          <c:tx>
            <c:strRef>
              <c:f>'data for plots'!$AH$1</c:f>
              <c:strCache>
                <c:ptCount val="1"/>
                <c:pt idx="0">
                  <c:v>Solar pv income [billion $]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 for plots'!$AB$18:$AB$43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xVal>
          <c:yVal>
            <c:numRef>
              <c:f>'data for plots'!$AH$18:$AH$43</c:f>
              <c:numCache>
                <c:formatCode>_("$"* #,##0.00_);_("$"* \(#,##0.00\);_("$"* "-"??_);_(@_)</c:formatCode>
                <c:ptCount val="26"/>
                <c:pt idx="0">
                  <c:v>9.8737263372072961E-2</c:v>
                </c:pt>
                <c:pt idx="1">
                  <c:v>0.39494905348829185</c:v>
                </c:pt>
                <c:pt idx="2">
                  <c:v>0.85214472377748918</c:v>
                </c:pt>
                <c:pt idx="3">
                  <c:v>1.3645642121674952</c:v>
                </c:pt>
                <c:pt idx="4">
                  <c:v>1.9365428733956964</c:v>
                </c:pt>
                <c:pt idx="5">
                  <c:v>2.5686375480165244</c:v>
                </c:pt>
                <c:pt idx="6">
                  <c:v>3.2564641443103484</c:v>
                </c:pt>
                <c:pt idx="7">
                  <c:v>3.9903987639984031</c:v>
                </c:pt>
                <c:pt idx="8">
                  <c:v>4.7564990355858736</c:v>
                </c:pt>
                <c:pt idx="9">
                  <c:v>5.5384984273761262</c:v>
                </c:pt>
                <c:pt idx="10">
                  <c:v>6.3202067519704883</c:v>
                </c:pt>
                <c:pt idx="11">
                  <c:v>7.0875076597631308</c:v>
                </c:pt>
                <c:pt idx="12">
                  <c:v>7.8294647878935919</c:v>
                </c:pt>
                <c:pt idx="13">
                  <c:v>8.5385307154404764</c:v>
                </c:pt>
                <c:pt idx="14">
                  <c:v>9.2101584967277468</c:v>
                </c:pt>
                <c:pt idx="15">
                  <c:v>9.8421593879955243</c:v>
                </c:pt>
                <c:pt idx="16">
                  <c:v>10.4340462960864</c:v>
                </c:pt>
                <c:pt idx="17">
                  <c:v>10.986478754063082</c:v>
                </c:pt>
                <c:pt idx="18">
                  <c:v>11.500840348287751</c:v>
                </c:pt>
                <c:pt idx="19">
                  <c:v>11.978937461205419</c:v>
                </c:pt>
                <c:pt idx="20">
                  <c:v>12.422794045224117</c:v>
                </c:pt>
                <c:pt idx="21">
                  <c:v>12.8345166740705</c:v>
                </c:pt>
                <c:pt idx="22">
                  <c:v>13.216208646160055</c:v>
                </c:pt>
                <c:pt idx="23">
                  <c:v>13.569917284030289</c:v>
                </c:pt>
                <c:pt idx="24">
                  <c:v>13.89760321169434</c:v>
                </c:pt>
                <c:pt idx="25">
                  <c:v>14.201123928885503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77-46B0-94B6-13CB11DC7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52768"/>
        <c:axId val="536652352"/>
      </c:scatterChart>
      <c:valAx>
        <c:axId val="53665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52352"/>
        <c:crosses val="autoZero"/>
        <c:crossBetween val="midCat"/>
      </c:valAx>
      <c:valAx>
        <c:axId val="5366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income [billion 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5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Ethanol 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for plots'!$K$2</c:f>
              <c:strCache>
                <c:ptCount val="1"/>
                <c:pt idx="0">
                  <c:v>25% sales by 2030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'data for plots'!$O$3:$O$43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plots'!$K$3:$K$43</c:f>
              <c:numCache>
                <c:formatCode>0.0</c:formatCode>
                <c:ptCount val="41"/>
                <c:pt idx="0">
                  <c:v>54.196456363636457</c:v>
                </c:pt>
                <c:pt idx="1">
                  <c:v>54.142067069999939</c:v>
                </c:pt>
                <c:pt idx="2">
                  <c:v>53.315023608000047</c:v>
                </c:pt>
                <c:pt idx="3">
                  <c:v>53.263903889888979</c:v>
                </c:pt>
                <c:pt idx="4">
                  <c:v>53.691384929330638</c:v>
                </c:pt>
                <c:pt idx="5">
                  <c:v>53.648763287860106</c:v>
                </c:pt>
                <c:pt idx="6">
                  <c:v>54.078870728847846</c:v>
                </c:pt>
                <c:pt idx="7">
                  <c:v>53.72091333347521</c:v>
                </c:pt>
                <c:pt idx="8">
                  <c:v>53.784592392207855</c:v>
                </c:pt>
                <c:pt idx="9">
                  <c:v>53.690054013545705</c:v>
                </c:pt>
                <c:pt idx="10">
                  <c:v>53.358710209674882</c:v>
                </c:pt>
                <c:pt idx="11">
                  <c:v>52.989893281224226</c:v>
                </c:pt>
                <c:pt idx="12">
                  <c:v>52.623151249313537</c:v>
                </c:pt>
                <c:pt idx="13">
                  <c:v>52.231710022249217</c:v>
                </c:pt>
                <c:pt idx="14">
                  <c:v>51.809474475573893</c:v>
                </c:pt>
                <c:pt idx="15">
                  <c:v>51.349156510419107</c:v>
                </c:pt>
                <c:pt idx="16">
                  <c:v>50.842185994822955</c:v>
                </c:pt>
                <c:pt idx="17">
                  <c:v>50.278701841932161</c:v>
                </c:pt>
                <c:pt idx="18">
                  <c:v>49.647677425143456</c:v>
                </c:pt>
                <c:pt idx="19">
                  <c:v>48.937246681042382</c:v>
                </c:pt>
                <c:pt idx="20">
                  <c:v>48.135299567653703</c:v>
                </c:pt>
                <c:pt idx="21">
                  <c:v>47.230396784484867</c:v>
                </c:pt>
                <c:pt idx="22">
                  <c:v>46.213001216870111</c:v>
                </c:pt>
                <c:pt idx="23">
                  <c:v>45.076930768075727</c:v>
                </c:pt>
                <c:pt idx="24">
                  <c:v>43.820815592466317</c:v>
                </c:pt>
                <c:pt idx="25">
                  <c:v>42.449233128428943</c:v>
                </c:pt>
                <c:pt idx="26">
                  <c:v>40.973163166564973</c:v>
                </c:pt>
                <c:pt idx="27">
                  <c:v>39.409511894113564</c:v>
                </c:pt>
                <c:pt idx="28">
                  <c:v>37.779697812799213</c:v>
                </c:pt>
                <c:pt idx="29">
                  <c:v>36.107582573578611</c:v>
                </c:pt>
                <c:pt idx="30">
                  <c:v>34.417224118219906</c:v>
                </c:pt>
                <c:pt idx="31">
                  <c:v>32.730931834723947</c:v>
                </c:pt>
                <c:pt idx="32">
                  <c:v>31.067932977682176</c:v>
                </c:pt>
                <c:pt idx="33">
                  <c:v>29.443726422995951</c:v>
                </c:pt>
                <c:pt idx="34">
                  <c:v>27.870016447205273</c:v>
                </c:pt>
                <c:pt idx="35">
                  <c:v>26.355035349871571</c:v>
                </c:pt>
                <c:pt idx="36">
                  <c:v>24.904065432002312</c:v>
                </c:pt>
                <c:pt idx="37">
                  <c:v>23.520017187878864</c:v>
                </c:pt>
                <c:pt idx="38">
                  <c:v>22.20397582993516</c:v>
                </c:pt>
                <c:pt idx="39">
                  <c:v>20.955673414206473</c:v>
                </c:pt>
                <c:pt idx="40">
                  <c:v>19.773873712448733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1-4BA7-8CE7-BB794E772198}"/>
            </c:ext>
          </c:extLst>
        </c:ser>
        <c:ser>
          <c:idx val="1"/>
          <c:order val="1"/>
          <c:tx>
            <c:strRef>
              <c:f>'data for plots'!$L$2</c:f>
              <c:strCache>
                <c:ptCount val="1"/>
                <c:pt idx="0">
                  <c:v>50% sales by 2030</c:v>
                </c:pt>
              </c:strCache>
            </c:strRef>
          </c:tx>
          <c:spPr>
            <a:ln w="4762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'data for plots'!$O$3:$O$43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plots'!$L$3:$L$43</c:f>
              <c:numCache>
                <c:formatCode>0.0</c:formatCode>
                <c:ptCount val="41"/>
                <c:pt idx="0">
                  <c:v>54.196456363636457</c:v>
                </c:pt>
                <c:pt idx="1">
                  <c:v>54.142067069999939</c:v>
                </c:pt>
                <c:pt idx="2">
                  <c:v>53.315023608000047</c:v>
                </c:pt>
                <c:pt idx="3">
                  <c:v>53.263903889888979</c:v>
                </c:pt>
                <c:pt idx="4">
                  <c:v>53.691384929330638</c:v>
                </c:pt>
                <c:pt idx="5">
                  <c:v>53.648763287860106</c:v>
                </c:pt>
                <c:pt idx="6">
                  <c:v>54.078870728847846</c:v>
                </c:pt>
                <c:pt idx="7">
                  <c:v>53.72091333347521</c:v>
                </c:pt>
                <c:pt idx="8">
                  <c:v>53.784592392207855</c:v>
                </c:pt>
                <c:pt idx="9">
                  <c:v>53.690054013545705</c:v>
                </c:pt>
                <c:pt idx="10">
                  <c:v>53.358710209674882</c:v>
                </c:pt>
                <c:pt idx="11">
                  <c:v>52.989893281224226</c:v>
                </c:pt>
                <c:pt idx="12">
                  <c:v>52.608935976244538</c:v>
                </c:pt>
                <c:pt idx="13">
                  <c:v>52.181049190462545</c:v>
                </c:pt>
                <c:pt idx="14">
                  <c:v>51.688976803933883</c:v>
                </c:pt>
                <c:pt idx="15">
                  <c:v>51.110580000674247</c:v>
                </c:pt>
                <c:pt idx="16">
                  <c:v>50.41869729137477</c:v>
                </c:pt>
                <c:pt idx="17">
                  <c:v>49.58217760783657</c:v>
                </c:pt>
                <c:pt idx="18">
                  <c:v>48.568923220319675</c:v>
                </c:pt>
                <c:pt idx="19">
                  <c:v>47.351613980893376</c:v>
                </c:pt>
                <c:pt idx="20">
                  <c:v>45.915791107429243</c:v>
                </c:pt>
                <c:pt idx="21">
                  <c:v>44.267975392311371</c:v>
                </c:pt>
                <c:pt idx="22">
                  <c:v>42.439517173868751</c:v>
                </c:pt>
                <c:pt idx="23">
                  <c:v>40.482414326313346</c:v>
                </c:pt>
                <c:pt idx="24">
                  <c:v>38.457782580143203</c:v>
                </c:pt>
                <c:pt idx="25">
                  <c:v>36.422760080370495</c:v>
                </c:pt>
                <c:pt idx="26">
                  <c:v>34.422001169368571</c:v>
                </c:pt>
                <c:pt idx="27">
                  <c:v>32.485558136270186</c:v>
                </c:pt>
                <c:pt idx="28">
                  <c:v>30.631002772044383</c:v>
                </c:pt>
                <c:pt idx="29">
                  <c:v>28.866923161465536</c:v>
                </c:pt>
                <c:pt idx="30">
                  <c:v>27.196098046124916</c:v>
                </c:pt>
                <c:pt idx="31">
                  <c:v>25.617818703584135</c:v>
                </c:pt>
                <c:pt idx="32">
                  <c:v>24.12941071903802</c:v>
                </c:pt>
                <c:pt idx="33">
                  <c:v>22.727171083536234</c:v>
                </c:pt>
                <c:pt idx="34">
                  <c:v>21.406923276253281</c:v>
                </c:pt>
                <c:pt idx="35">
                  <c:v>20.16433688557575</c:v>
                </c:pt>
                <c:pt idx="36">
                  <c:v>18.995106769397864</c:v>
                </c:pt>
                <c:pt idx="37">
                  <c:v>17.895050057263802</c:v>
                </c:pt>
                <c:pt idx="38">
                  <c:v>16.860155733811922</c:v>
                </c:pt>
                <c:pt idx="39">
                  <c:v>15.886607160279709</c:v>
                </c:pt>
                <c:pt idx="40">
                  <c:v>14.97078934512831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1-4BA7-8CE7-BB794E772198}"/>
            </c:ext>
          </c:extLst>
        </c:ser>
        <c:ser>
          <c:idx val="2"/>
          <c:order val="2"/>
          <c:tx>
            <c:strRef>
              <c:f>'data for plots'!$M$2</c:f>
              <c:strCache>
                <c:ptCount val="1"/>
                <c:pt idx="0">
                  <c:v>75% sales by 2030</c:v>
                </c:pt>
              </c:strCache>
            </c:strRef>
          </c:tx>
          <c:spPr>
            <a:ln w="508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'data for plots'!$O$3:$O$43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plots'!$M$3:$M$43</c:f>
              <c:numCache>
                <c:formatCode>0.0</c:formatCode>
                <c:ptCount val="41"/>
                <c:pt idx="0">
                  <c:v>54.196456363636457</c:v>
                </c:pt>
                <c:pt idx="1">
                  <c:v>54.142067069999939</c:v>
                </c:pt>
                <c:pt idx="2">
                  <c:v>53.315023608000047</c:v>
                </c:pt>
                <c:pt idx="3">
                  <c:v>53.263903889888979</c:v>
                </c:pt>
                <c:pt idx="4">
                  <c:v>53.691384929330638</c:v>
                </c:pt>
                <c:pt idx="5">
                  <c:v>53.648763287860106</c:v>
                </c:pt>
                <c:pt idx="6">
                  <c:v>54.078870728847846</c:v>
                </c:pt>
                <c:pt idx="7">
                  <c:v>53.72091333347521</c:v>
                </c:pt>
                <c:pt idx="8">
                  <c:v>53.784592392207855</c:v>
                </c:pt>
                <c:pt idx="9">
                  <c:v>53.690054013545705</c:v>
                </c:pt>
                <c:pt idx="10">
                  <c:v>53.358710209674882</c:v>
                </c:pt>
                <c:pt idx="11">
                  <c:v>52.989893281224226</c:v>
                </c:pt>
                <c:pt idx="12">
                  <c:v>52.596616072917982</c:v>
                </c:pt>
                <c:pt idx="13">
                  <c:v>52.134099436421593</c:v>
                </c:pt>
                <c:pt idx="14">
                  <c:v>51.569802473040454</c:v>
                </c:pt>
                <c:pt idx="15">
                  <c:v>50.860116782375997</c:v>
                </c:pt>
                <c:pt idx="16">
                  <c:v>49.951462843500906</c:v>
                </c:pt>
                <c:pt idx="17">
                  <c:v>48.787358021742136</c:v>
                </c:pt>
                <c:pt idx="18">
                  <c:v>47.324694928552788</c:v>
                </c:pt>
                <c:pt idx="19">
                  <c:v>45.557429727742885</c:v>
                </c:pt>
                <c:pt idx="20">
                  <c:v>43.534382903357709</c:v>
                </c:pt>
                <c:pt idx="21">
                  <c:v>41.351228910866098</c:v>
                </c:pt>
                <c:pt idx="22">
                  <c:v>39.114992410882792</c:v>
                </c:pt>
                <c:pt idx="23">
                  <c:v>36.909059770294448</c:v>
                </c:pt>
                <c:pt idx="24">
                  <c:v>34.782452822720245</c:v>
                </c:pt>
                <c:pt idx="25">
                  <c:v>32.757699471810668</c:v>
                </c:pt>
                <c:pt idx="26">
                  <c:v>30.842031284994334</c:v>
                </c:pt>
                <c:pt idx="27">
                  <c:v>29.03513672515777</c:v>
                </c:pt>
                <c:pt idx="28">
                  <c:v>27.333350932423116</c:v>
                </c:pt>
                <c:pt idx="29">
                  <c:v>25.731681918631466</c:v>
                </c:pt>
                <c:pt idx="30">
                  <c:v>24.224737514962015</c:v>
                </c:pt>
                <c:pt idx="31">
                  <c:v>22.807133998918687</c:v>
                </c:pt>
                <c:pt idx="32">
                  <c:v>21.473668451676218</c:v>
                </c:pt>
                <c:pt idx="33">
                  <c:v>20.219385295278556</c:v>
                </c:pt>
                <c:pt idx="34">
                  <c:v>19.039596067993216</c:v>
                </c:pt>
                <c:pt idx="35">
                  <c:v>17.929878908575887</c:v>
                </c:pt>
                <c:pt idx="36">
                  <c:v>16.886069546586185</c:v>
                </c:pt>
                <c:pt idx="37">
                  <c:v>15.904249029229589</c:v>
                </c:pt>
                <c:pt idx="38">
                  <c:v>14.980730485388676</c:v>
                </c:pt>
                <c:pt idx="39">
                  <c:v>14.112045922861739</c:v>
                </c:pt>
                <c:pt idx="40">
                  <c:v>13.294933475096059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51-4BA7-8CE7-BB794E772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29072"/>
        <c:axId val="531930736"/>
      </c:scatterChart>
      <c:valAx>
        <c:axId val="5319290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0736"/>
        <c:crosses val="autoZero"/>
        <c:crossBetween val="midCat"/>
      </c:valAx>
      <c:valAx>
        <c:axId val="5319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Corn ethanol consumption (billion liters)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2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 Sales</a:t>
            </a:r>
            <a:r>
              <a:rPr lang="en-US" baseline="0"/>
              <a:t> Share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for plots'!$G$2</c:f>
              <c:strCache>
                <c:ptCount val="1"/>
                <c:pt idx="0">
                  <c:v>25% sales by 2030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'data for plots'!$O$3:$O$43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plots'!$G$3:$G$43</c:f>
              <c:numCache>
                <c:formatCode>0.0%</c:formatCode>
                <c:ptCount val="41"/>
                <c:pt idx="0">
                  <c:v>8.5714285714285713E-5</c:v>
                </c:pt>
                <c:pt idx="1">
                  <c:v>7.1958346397199579E-4</c:v>
                </c:pt>
                <c:pt idx="2">
                  <c:v>1.4381750134349542E-3</c:v>
                </c:pt>
                <c:pt idx="3">
                  <c:v>3.4878017765990251E-3</c:v>
                </c:pt>
                <c:pt idx="4">
                  <c:v>3.930450981817297E-3</c:v>
                </c:pt>
                <c:pt idx="5">
                  <c:v>4.9995264533042481E-3</c:v>
                </c:pt>
                <c:pt idx="6">
                  <c:v>5.263119686971413E-3</c:v>
                </c:pt>
                <c:pt idx="7">
                  <c:v>7.5475457645437592E-3</c:v>
                </c:pt>
                <c:pt idx="8">
                  <c:v>1.5581284379925708E-2</c:v>
                </c:pt>
                <c:pt idx="9">
                  <c:v>1.618920250303833E-2</c:v>
                </c:pt>
                <c:pt idx="10">
                  <c:v>1.6656342330415467E-2</c:v>
                </c:pt>
                <c:pt idx="11">
                  <c:v>3.3867535778910912E-2</c:v>
                </c:pt>
                <c:pt idx="12">
                  <c:v>4.291288017918158E-2</c:v>
                </c:pt>
                <c:pt idx="13">
                  <c:v>5.4264752680753953E-2</c:v>
                </c:pt>
                <c:pt idx="14">
                  <c:v>6.844610741480199E-2</c:v>
                </c:pt>
                <c:pt idx="15">
                  <c:v>8.6060236528023373E-2</c:v>
                </c:pt>
                <c:pt idx="16">
                  <c:v>0.1077803804630522</c:v>
                </c:pt>
                <c:pt idx="17">
                  <c:v>0.13432311182814408</c:v>
                </c:pt>
                <c:pt idx="18">
                  <c:v>0.16639847645418979</c:v>
                </c:pt>
                <c:pt idx="19">
                  <c:v>0.20463026179230753</c:v>
                </c:pt>
                <c:pt idx="20">
                  <c:v>0.24944319693121858</c:v>
                </c:pt>
                <c:pt idx="21">
                  <c:v>0.30092221050606277</c:v>
                </c:pt>
                <c:pt idx="22">
                  <c:v>0.35866304880767302</c:v>
                </c:pt>
                <c:pt idx="23">
                  <c:v>0.42165154522398007</c:v>
                </c:pt>
                <c:pt idx="24">
                  <c:v>0.48822323908503695</c:v>
                </c:pt>
                <c:pt idx="25">
                  <c:v>0.55615322310587323</c:v>
                </c:pt>
                <c:pt idx="26">
                  <c:v>0.62289638995246521</c:v>
                </c:pt>
                <c:pt idx="27">
                  <c:v>0.68594238113307127</c:v>
                </c:pt>
                <c:pt idx="28">
                  <c:v>0.74319181898245257</c:v>
                </c:pt>
                <c:pt idx="29">
                  <c:v>0.79323836733372788</c:v>
                </c:pt>
                <c:pt idx="30">
                  <c:v>0.83547617302692856</c:v>
                </c:pt>
                <c:pt idx="31">
                  <c:v>0.87002601660861612</c:v>
                </c:pt>
                <c:pt idx="32">
                  <c:v>0.89754016718297447</c:v>
                </c:pt>
                <c:pt idx="33">
                  <c:v>0.91897050842061656</c:v>
                </c:pt>
                <c:pt idx="34">
                  <c:v>0.93536690469700701</c:v>
                </c:pt>
                <c:pt idx="35">
                  <c:v>0.94773717014364645</c:v>
                </c:pt>
                <c:pt idx="36">
                  <c:v>0.95696971525886021</c:v>
                </c:pt>
                <c:pt idx="37">
                  <c:v>0.96380426020996557</c:v>
                </c:pt>
                <c:pt idx="38">
                  <c:v>0.9688327237151273</c:v>
                </c:pt>
                <c:pt idx="39">
                  <c:v>0.97251557906002783</c:v>
                </c:pt>
                <c:pt idx="40">
                  <c:v>0.9752038744830096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44-4014-8741-8CA540D4443E}"/>
            </c:ext>
          </c:extLst>
        </c:ser>
        <c:ser>
          <c:idx val="1"/>
          <c:order val="1"/>
          <c:tx>
            <c:strRef>
              <c:f>'data for plots'!$H$2</c:f>
              <c:strCache>
                <c:ptCount val="1"/>
                <c:pt idx="0">
                  <c:v>50% sales by 2030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'data for plots'!$O$3:$O$43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plots'!$H$3:$H$43</c:f>
              <c:numCache>
                <c:formatCode>0.0%</c:formatCode>
                <c:ptCount val="41"/>
                <c:pt idx="0">
                  <c:v>8.5714285714285713E-5</c:v>
                </c:pt>
                <c:pt idx="1">
                  <c:v>7.1958346397199579E-4</c:v>
                </c:pt>
                <c:pt idx="2">
                  <c:v>1.4381750134349542E-3</c:v>
                </c:pt>
                <c:pt idx="3">
                  <c:v>3.4878017765990251E-3</c:v>
                </c:pt>
                <c:pt idx="4">
                  <c:v>3.930450981817297E-3</c:v>
                </c:pt>
                <c:pt idx="5">
                  <c:v>4.9995264533042481E-3</c:v>
                </c:pt>
                <c:pt idx="6">
                  <c:v>5.263119686971413E-3</c:v>
                </c:pt>
                <c:pt idx="7">
                  <c:v>7.5475457645437592E-3</c:v>
                </c:pt>
                <c:pt idx="8">
                  <c:v>1.5581284379925708E-2</c:v>
                </c:pt>
                <c:pt idx="9">
                  <c:v>1.618920250303833E-2</c:v>
                </c:pt>
                <c:pt idx="10">
                  <c:v>1.6656342330415467E-2</c:v>
                </c:pt>
                <c:pt idx="11">
                  <c:v>3.3867535778910912E-2</c:v>
                </c:pt>
                <c:pt idx="12">
                  <c:v>4.7601194323540999E-2</c:v>
                </c:pt>
                <c:pt idx="13">
                  <c:v>6.6626245004332535E-2</c:v>
                </c:pt>
                <c:pt idx="14">
                  <c:v>9.2716591528060277E-2</c:v>
                </c:pt>
                <c:pt idx="15">
                  <c:v>0.12799594794169747</c:v>
                </c:pt>
                <c:pt idx="16">
                  <c:v>0.17478078870088384</c:v>
                </c:pt>
                <c:pt idx="17">
                  <c:v>0.2351920906327658</c:v>
                </c:pt>
                <c:pt idx="18">
                  <c:v>0.31044723572942823</c:v>
                </c:pt>
                <c:pt idx="19">
                  <c:v>0.39985574008998093</c:v>
                </c:pt>
                <c:pt idx="20">
                  <c:v>0.49982428995761441</c:v>
                </c:pt>
                <c:pt idx="21">
                  <c:v>0.60355649430289404</c:v>
                </c:pt>
                <c:pt idx="22">
                  <c:v>0.70221628727874563</c:v>
                </c:pt>
                <c:pt idx="23">
                  <c:v>0.78756780897285927</c:v>
                </c:pt>
                <c:pt idx="24">
                  <c:v>0.85473327309594915</c:v>
                </c:pt>
                <c:pt idx="25">
                  <c:v>0.90323525503809599</c:v>
                </c:pt>
                <c:pt idx="26">
                  <c:v>0.93587624135461478</c:v>
                </c:pt>
                <c:pt idx="27">
                  <c:v>0.95671773492900725</c:v>
                </c:pt>
                <c:pt idx="28">
                  <c:v>0.96955158184653711</c:v>
                </c:pt>
                <c:pt idx="29">
                  <c:v>0.97727082792468845</c:v>
                </c:pt>
                <c:pt idx="30">
                  <c:v>0.98184635789397678</c:v>
                </c:pt>
                <c:pt idx="31">
                  <c:v>0.98453457035529957</c:v>
                </c:pt>
                <c:pt idx="32">
                  <c:v>0.98610565090653757</c:v>
                </c:pt>
                <c:pt idx="33">
                  <c:v>0.98702099936861842</c:v>
                </c:pt>
                <c:pt idx="34">
                  <c:v>0.98755333590538452</c:v>
                </c:pt>
                <c:pt idx="35">
                  <c:v>0.98786259788047892</c:v>
                </c:pt>
                <c:pt idx="36">
                  <c:v>0.98804215365882031</c:v>
                </c:pt>
                <c:pt idx="37">
                  <c:v>0.9881463654511945</c:v>
                </c:pt>
                <c:pt idx="38">
                  <c:v>0.98820683602897841</c:v>
                </c:pt>
                <c:pt idx="39">
                  <c:v>0.98824192082853857</c:v>
                </c:pt>
                <c:pt idx="40">
                  <c:v>0.98826227547157863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44-4014-8741-8CA540D4443E}"/>
            </c:ext>
          </c:extLst>
        </c:ser>
        <c:ser>
          <c:idx val="2"/>
          <c:order val="2"/>
          <c:tx>
            <c:strRef>
              <c:f>'data for plots'!$I$2</c:f>
              <c:strCache>
                <c:ptCount val="1"/>
                <c:pt idx="0">
                  <c:v>75% sales by 2030</c:v>
                </c:pt>
              </c:strCache>
            </c:strRef>
          </c:tx>
          <c:spPr>
            <a:ln w="508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'data for plots'!$O$3:$O$43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plots'!$I$3:$I$43</c:f>
              <c:numCache>
                <c:formatCode>0.0%</c:formatCode>
                <c:ptCount val="41"/>
                <c:pt idx="0">
                  <c:v>8.5714285714285713E-5</c:v>
                </c:pt>
                <c:pt idx="1">
                  <c:v>7.1958346397199579E-4</c:v>
                </c:pt>
                <c:pt idx="2">
                  <c:v>1.4381750134349542E-3</c:v>
                </c:pt>
                <c:pt idx="3">
                  <c:v>3.4878017765990251E-3</c:v>
                </c:pt>
                <c:pt idx="4">
                  <c:v>3.930450981817297E-3</c:v>
                </c:pt>
                <c:pt idx="5">
                  <c:v>4.9995264533042481E-3</c:v>
                </c:pt>
                <c:pt idx="6">
                  <c:v>5.263119686971413E-3</c:v>
                </c:pt>
                <c:pt idx="7">
                  <c:v>7.5475457645437592E-3</c:v>
                </c:pt>
                <c:pt idx="8">
                  <c:v>1.5581284379925708E-2</c:v>
                </c:pt>
                <c:pt idx="9">
                  <c:v>1.618920250303833E-2</c:v>
                </c:pt>
                <c:pt idx="10">
                  <c:v>1.6656342330415467E-2</c:v>
                </c:pt>
                <c:pt idx="11">
                  <c:v>3.3867535778910912E-2</c:v>
                </c:pt>
                <c:pt idx="12">
                  <c:v>5.1931373359650743E-2</c:v>
                </c:pt>
                <c:pt idx="13">
                  <c:v>7.9107160815128558E-2</c:v>
                </c:pt>
                <c:pt idx="14">
                  <c:v>0.11930619189248921</c:v>
                </c:pt>
                <c:pt idx="15">
                  <c:v>0.17726033591532966</c:v>
                </c:pt>
                <c:pt idx="16">
                  <c:v>0.25764202694744015</c:v>
                </c:pt>
                <c:pt idx="17">
                  <c:v>0.36293441807983945</c:v>
                </c:pt>
                <c:pt idx="18">
                  <c:v>0.48996389331488333</c:v>
                </c:pt>
                <c:pt idx="19">
                  <c:v>0.62677362008949344</c:v>
                </c:pt>
                <c:pt idx="20">
                  <c:v>0.75400353399916542</c:v>
                </c:pt>
                <c:pt idx="21">
                  <c:v>0.85360554093541219</c:v>
                </c:pt>
                <c:pt idx="22">
                  <c:v>0.91898993923431405</c:v>
                </c:pt>
                <c:pt idx="23">
                  <c:v>0.95590099551617125</c:v>
                </c:pt>
                <c:pt idx="24">
                  <c:v>0.97463422248467291</c:v>
                </c:pt>
                <c:pt idx="25">
                  <c:v>0.98356093651606002</c:v>
                </c:pt>
                <c:pt idx="26">
                  <c:v>0.98767709064125131</c:v>
                </c:pt>
                <c:pt idx="27">
                  <c:v>0.98954515580986413</c:v>
                </c:pt>
                <c:pt idx="28">
                  <c:v>0.99038672482268453</c:v>
                </c:pt>
                <c:pt idx="29">
                  <c:v>0.99076458357073471</c:v>
                </c:pt>
                <c:pt idx="30">
                  <c:v>0.9909339828236956</c:v>
                </c:pt>
                <c:pt idx="31">
                  <c:v>0.99100987517279415</c:v>
                </c:pt>
                <c:pt idx="32">
                  <c:v>0.99104386523697807</c:v>
                </c:pt>
                <c:pt idx="33">
                  <c:v>0.99105908635654683</c:v>
                </c:pt>
                <c:pt idx="34">
                  <c:v>0.99106590212167411</c:v>
                </c:pt>
                <c:pt idx="35">
                  <c:v>0.99106895402467043</c:v>
                </c:pt>
                <c:pt idx="36">
                  <c:v>0.99107032056200561</c:v>
                </c:pt>
                <c:pt idx="37">
                  <c:v>0.99107093244712263</c:v>
                </c:pt>
                <c:pt idx="38">
                  <c:v>0.9910712064260796</c:v>
                </c:pt>
                <c:pt idx="39">
                  <c:v>0.99107132910333406</c:v>
                </c:pt>
                <c:pt idx="40">
                  <c:v>0.99107138403347184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44-4014-8741-8CA540D4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29072"/>
        <c:axId val="531930736"/>
      </c:scatterChart>
      <c:valAx>
        <c:axId val="5319290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0736"/>
        <c:crosses val="autoZero"/>
        <c:crossBetween val="midCat"/>
      </c:valAx>
      <c:valAx>
        <c:axId val="53193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EV sales of LDVs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2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Final Energy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'main calculations'!$R$9</c:f>
              <c:strCache>
                <c:ptCount val="1"/>
                <c:pt idx="0">
                  <c:v>ICEV energy use (TWh)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'main calculations'!$A$10:$A$50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'main calculations'!$R$10:$R$50</c:f>
              <c:numCache>
                <c:formatCode>0</c:formatCode>
                <c:ptCount val="41"/>
                <c:pt idx="0">
                  <c:v>5429.3235749999985</c:v>
                </c:pt>
                <c:pt idx="1">
                  <c:v>5423.8749332625002</c:v>
                </c:pt>
                <c:pt idx="2">
                  <c:v>5341.0229007299995</c:v>
                </c:pt>
                <c:pt idx="3">
                  <c:v>5335.9018003978081</c:v>
                </c:pt>
                <c:pt idx="4">
                  <c:v>5378.726240241871</c:v>
                </c:pt>
                <c:pt idx="5">
                  <c:v>5374.4564650874026</c:v>
                </c:pt>
                <c:pt idx="6">
                  <c:v>5417.5440140863611</c:v>
                </c:pt>
                <c:pt idx="7">
                  <c:v>5381.6843535856351</c:v>
                </c:pt>
                <c:pt idx="8">
                  <c:v>5388.0636307193845</c:v>
                </c:pt>
                <c:pt idx="9">
                  <c:v>5378.5929109998424</c:v>
                </c:pt>
                <c:pt idx="10">
                  <c:v>5345.3993620763613</c:v>
                </c:pt>
                <c:pt idx="11">
                  <c:v>5308.4518090654883</c:v>
                </c:pt>
                <c:pt idx="12">
                  <c:v>5270.2880504773457</c:v>
                </c:pt>
                <c:pt idx="13">
                  <c:v>5227.4229635445472</c:v>
                </c:pt>
                <c:pt idx="14">
                  <c:v>5178.1278548226555</c:v>
                </c:pt>
                <c:pt idx="15">
                  <c:v>5120.1848893532569</c:v>
                </c:pt>
                <c:pt idx="16">
                  <c:v>5050.8730679395012</c:v>
                </c:pt>
                <c:pt idx="17">
                  <c:v>4967.0717210707726</c:v>
                </c:pt>
                <c:pt idx="18">
                  <c:v>4865.5653440355936</c:v>
                </c:pt>
                <c:pt idx="19">
                  <c:v>4743.617043443066</c:v>
                </c:pt>
                <c:pt idx="20">
                  <c:v>4599.7783591549642</c:v>
                </c:pt>
                <c:pt idx="21">
                  <c:v>4434.7025348369052</c:v>
                </c:pt>
                <c:pt idx="22">
                  <c:v>4251.5302025964884</c:v>
                </c:pt>
                <c:pt idx="23">
                  <c:v>4055.4704351896039</c:v>
                </c:pt>
                <c:pt idx="24">
                  <c:v>3852.6457191893433</c:v>
                </c:pt>
                <c:pt idx="25">
                  <c:v>3648.7800723371074</c:v>
                </c:pt>
                <c:pt idx="26">
                  <c:v>3448.3469028599566</c:v>
                </c:pt>
                <c:pt idx="27">
                  <c:v>3254.3568061513429</c:v>
                </c:pt>
                <c:pt idx="28">
                  <c:v>3068.5700991280182</c:v>
                </c:pt>
                <c:pt idx="29">
                  <c:v>2891.8471238539591</c:v>
                </c:pt>
                <c:pt idx="30">
                  <c:v>2724.4662506921568</c:v>
                </c:pt>
                <c:pt idx="31">
                  <c:v>2566.3564808411943</c:v>
                </c:pt>
                <c:pt idx="32">
                  <c:v>2417.249895246488</c:v>
                </c:pt>
                <c:pt idx="33">
                  <c:v>2276.7755317613955</c:v>
                </c:pt>
                <c:pt idx="34">
                  <c:v>2144.5149924960861</c:v>
                </c:pt>
                <c:pt idx="35">
                  <c:v>2020.0344630014231</c:v>
                </c:pt>
                <c:pt idx="36">
                  <c:v>1902.9026602914637</c:v>
                </c:pt>
                <c:pt idx="37">
                  <c:v>1792.7005503794612</c:v>
                </c:pt>
                <c:pt idx="38">
                  <c:v>1689.0263154765155</c:v>
                </c:pt>
                <c:pt idx="39">
                  <c:v>1591.4976101637365</c:v>
                </c:pt>
                <c:pt idx="40">
                  <c:v>1499.7522897530314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7-4865-AD36-18009EABD5F9}"/>
            </c:ext>
          </c:extLst>
        </c:ser>
        <c:ser>
          <c:idx val="1"/>
          <c:order val="1"/>
          <c:tx>
            <c:strRef>
              <c:f>'main calculations'!$T$9</c:f>
              <c:strCache>
                <c:ptCount val="1"/>
                <c:pt idx="0">
                  <c:v>EV energy use (TWh)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'main calculations'!$A$10:$A$50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'main calculations'!$T$10:$T$50</c:f>
              <c:numCache>
                <c:formatCode>0.00</c:formatCode>
                <c:ptCount val="41"/>
                <c:pt idx="0">
                  <c:v>1.4060000000000001E-2</c:v>
                </c:pt>
                <c:pt idx="1">
                  <c:v>8.0594059405940596E-2</c:v>
                </c:pt>
                <c:pt idx="2">
                  <c:v>0.2720321537104205</c:v>
                </c:pt>
                <c:pt idx="3">
                  <c:v>0.61768357014115283</c:v>
                </c:pt>
                <c:pt idx="4">
                  <c:v>1.031131909630062</c:v>
                </c:pt>
                <c:pt idx="5">
                  <c:v>1.4081692176579883</c:v>
                </c:pt>
                <c:pt idx="6">
                  <c:v>1.9867734011511218</c:v>
                </c:pt>
                <c:pt idx="7">
                  <c:v>2.6228031698364642</c:v>
                </c:pt>
                <c:pt idx="8">
                  <c:v>3.8269144739667027</c:v>
                </c:pt>
                <c:pt idx="9">
                  <c:v>4.9054331570471339</c:v>
                </c:pt>
                <c:pt idx="10">
                  <c:v>5.8282374143134259</c:v>
                </c:pt>
                <c:pt idx="11">
                  <c:v>7.3624030156912514</c:v>
                </c:pt>
                <c:pt idx="12">
                  <c:v>9.1094398848847309</c:v>
                </c:pt>
                <c:pt idx="13">
                  <c:v>11.61670007839818</c:v>
                </c:pt>
                <c:pt idx="14">
                  <c:v>15.155850812306515</c:v>
                </c:pt>
                <c:pt idx="15">
                  <c:v>20.075511746866376</c:v>
                </c:pt>
                <c:pt idx="16">
                  <c:v>26.80349660213194</c:v>
                </c:pt>
                <c:pt idx="17">
                  <c:v>35.830590756976072</c:v>
                </c:pt>
                <c:pt idx="18">
                  <c:v>47.662679267034775</c:v>
                </c:pt>
                <c:pt idx="19">
                  <c:v>62.730630887402796</c:v>
                </c:pt>
                <c:pt idx="20">
                  <c:v>81.262975287398419</c:v>
                </c:pt>
                <c:pt idx="21">
                  <c:v>103.15796177816863</c:v>
                </c:pt>
                <c:pt idx="22">
                  <c:v>127.92276132720936</c:v>
                </c:pt>
                <c:pt idx="23">
                  <c:v>154.73913963947368</c:v>
                </c:pt>
                <c:pt idx="24">
                  <c:v>182.64491054216916</c:v>
                </c:pt>
                <c:pt idx="25">
                  <c:v>210.74016472758896</c:v>
                </c:pt>
                <c:pt idx="26">
                  <c:v>238.32131812432215</c:v>
                </c:pt>
                <c:pt idx="27">
                  <c:v>264.91458695256443</c:v>
                </c:pt>
                <c:pt idx="28">
                  <c:v>290.24267049695999</c:v>
                </c:pt>
                <c:pt idx="29">
                  <c:v>314.16974022160036</c:v>
                </c:pt>
                <c:pt idx="30">
                  <c:v>336.65147781025189</c:v>
                </c:pt>
                <c:pt idx="31">
                  <c:v>357.69852097478736</c:v>
                </c:pt>
                <c:pt idx="32">
                  <c:v>377.35250073332736</c:v>
                </c:pt>
                <c:pt idx="33">
                  <c:v>395.67128239768789</c:v>
                </c:pt>
                <c:pt idx="34">
                  <c:v>412.7202212540256</c:v>
                </c:pt>
                <c:pt idx="35">
                  <c:v>428.56712607196204</c:v>
                </c:pt>
                <c:pt idx="36">
                  <c:v>443.27943479219044</c:v>
                </c:pt>
                <c:pt idx="37">
                  <c:v>456.92268436167132</c:v>
                </c:pt>
                <c:pt idx="38">
                  <c:v>469.55972763877065</c:v>
                </c:pt>
                <c:pt idx="39">
                  <c:v>481.25037674967791</c:v>
                </c:pt>
                <c:pt idx="40">
                  <c:v>492.05128684851769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7-4865-AD36-18009EAB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82496"/>
        <c:axId val="1853983328"/>
      </c:areaChart>
      <c:catAx>
        <c:axId val="18539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83328"/>
        <c:crosses val="autoZero"/>
        <c:auto val="1"/>
        <c:lblAlgn val="ctr"/>
        <c:lblOffset val="100"/>
        <c:noMultiLvlLbl val="0"/>
      </c:catAx>
      <c:valAx>
        <c:axId val="18539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Final Energy Use [TWh]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8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'main calculations'!$N$9</c:f>
              <c:strCache>
                <c:ptCount val="1"/>
                <c:pt idx="0">
                  <c:v>Ethanol consumption (billion liters)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'main calculations'!$A$10:$A$50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'main calculations'!$N$10:$N$50</c:f>
              <c:numCache>
                <c:formatCode>0.00</c:formatCode>
                <c:ptCount val="41"/>
                <c:pt idx="0">
                  <c:v>52.260868636363625</c:v>
                </c:pt>
                <c:pt idx="1">
                  <c:v>52.208421817500039</c:v>
                </c:pt>
                <c:pt idx="2">
                  <c:v>51.410915622000061</c:v>
                </c:pt>
                <c:pt idx="3">
                  <c:v>51.361621608107384</c:v>
                </c:pt>
                <c:pt idx="4">
                  <c:v>51.773835467568802</c:v>
                </c:pt>
                <c:pt idx="5">
                  <c:v>51.732736027579335</c:v>
                </c:pt>
                <c:pt idx="6">
                  <c:v>52.147482488531864</c:v>
                </c:pt>
                <c:pt idx="7">
                  <c:v>51.802309285851038</c:v>
                </c:pt>
                <c:pt idx="8">
                  <c:v>51.86371409248602</c:v>
                </c:pt>
                <c:pt idx="9">
                  <c:v>51.772552084490485</c:v>
                </c:pt>
                <c:pt idx="10">
                  <c:v>51.45304198790086</c:v>
                </c:pt>
                <c:pt idx="11">
                  <c:v>51.097397092609015</c:v>
                </c:pt>
                <c:pt idx="12">
                  <c:v>50.730045405664271</c:v>
                </c:pt>
                <c:pt idx="13">
                  <c:v>50.31744029080312</c:v>
                </c:pt>
                <c:pt idx="14">
                  <c:v>49.842941918079134</c:v>
                </c:pt>
                <c:pt idx="15">
                  <c:v>49.285202143507377</c:v>
                </c:pt>
                <c:pt idx="16">
                  <c:v>48.618029530968499</c:v>
                </c:pt>
                <c:pt idx="17">
                  <c:v>47.811385550414002</c:v>
                </c:pt>
                <c:pt idx="18">
                  <c:v>46.834318819593932</c:v>
                </c:pt>
                <c:pt idx="19">
                  <c:v>45.660484910147204</c:v>
                </c:pt>
                <c:pt idx="20">
                  <c:v>44.275941425021074</c:v>
                </c:pt>
                <c:pt idx="21">
                  <c:v>42.686976271157448</c:v>
                </c:pt>
                <c:pt idx="22">
                  <c:v>40.923820131944808</c:v>
                </c:pt>
                <c:pt idx="23">
                  <c:v>39.03661381465929</c:v>
                </c:pt>
                <c:pt idx="24">
                  <c:v>37.084290345138129</c:v>
                </c:pt>
                <c:pt idx="25">
                  <c:v>35.121947220357185</c:v>
                </c:pt>
                <c:pt idx="26">
                  <c:v>33.192643984748315</c:v>
                </c:pt>
                <c:pt idx="27">
                  <c:v>31.325359631403387</c:v>
                </c:pt>
                <c:pt idx="28">
                  <c:v>29.53703838732855</c:v>
                </c:pt>
                <c:pt idx="29">
                  <c:v>27.835961619984687</c:v>
                </c:pt>
                <c:pt idx="30">
                  <c:v>26.224808830191932</c:v>
                </c:pt>
                <c:pt idx="31">
                  <c:v>24.702896607027554</c:v>
                </c:pt>
                <c:pt idx="32">
                  <c:v>23.267646050500986</c:v>
                </c:pt>
                <c:pt idx="33">
                  <c:v>21.915486401981354</c:v>
                </c:pt>
                <c:pt idx="34">
                  <c:v>20.642390302101404</c:v>
                </c:pt>
                <c:pt idx="35">
                  <c:v>19.444181996805156</c:v>
                </c:pt>
                <c:pt idx="36">
                  <c:v>18.316710099062249</c:v>
                </c:pt>
                <c:pt idx="37">
                  <c:v>17.25594112664723</c:v>
                </c:pt>
                <c:pt idx="38">
                  <c:v>16.258007314747232</c:v>
                </c:pt>
                <c:pt idx="39">
                  <c:v>15.319228333126915</c:v>
                </c:pt>
                <c:pt idx="40">
                  <c:v>14.436118297088029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C-47A3-A475-36D6DF9DC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37440"/>
        <c:axId val="522040352"/>
      </c:scatterChart>
      <c:valAx>
        <c:axId val="522037440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40352"/>
        <c:crosses val="autoZero"/>
        <c:crossBetween val="midCat"/>
      </c:valAx>
      <c:valAx>
        <c:axId val="5220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Ethanol consumption [billion liters]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'main calculations'!$AD$9</c:f>
              <c:strCache>
                <c:ptCount val="1"/>
                <c:pt idx="0">
                  <c:v>Est. acres of corn for ethanol (million acres)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calculations'!$A$10:$A$50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'main calculations'!$AD$10:$AD$50</c:f>
              <c:numCache>
                <c:formatCode>0.00</c:formatCode>
                <c:ptCount val="41"/>
                <c:pt idx="0">
                  <c:v>33.716689442815245</c:v>
                </c:pt>
                <c:pt idx="1">
                  <c:v>33.347691808957961</c:v>
                </c:pt>
                <c:pt idx="2">
                  <c:v>32.511534236677633</c:v>
                </c:pt>
                <c:pt idx="3">
                  <c:v>32.157165806150594</c:v>
                </c:pt>
                <c:pt idx="4">
                  <c:v>32.092702425089627</c:v>
                </c:pt>
                <c:pt idx="5">
                  <c:v>31.748141691001237</c:v>
                </c:pt>
                <c:pt idx="6">
                  <c:v>31.684227355699804</c:v>
                </c:pt>
                <c:pt idx="7">
                  <c:v>31.161317158654359</c:v>
                </c:pt>
                <c:pt idx="8">
                  <c:v>30.88781678836013</c:v>
                </c:pt>
                <c:pt idx="9">
                  <c:v>30.526715825885447</c:v>
                </c:pt>
                <c:pt idx="10">
                  <c:v>30.036441426134697</c:v>
                </c:pt>
                <c:pt idx="11">
                  <c:v>29.532017147069364</c:v>
                </c:pt>
                <c:pt idx="12">
                  <c:v>29.027958752351733</c:v>
                </c:pt>
                <c:pt idx="13">
                  <c:v>28.50537102968498</c:v>
                </c:pt>
                <c:pt idx="14">
                  <c:v>27.955594892398345</c:v>
                </c:pt>
                <c:pt idx="15">
                  <c:v>27.367714114716442</c:v>
                </c:pt>
                <c:pt idx="16">
                  <c:v>26.728602201389766</c:v>
                </c:pt>
                <c:pt idx="17">
                  <c:v>26.023585680628415</c:v>
                </c:pt>
                <c:pt idx="18">
                  <c:v>25.238115672982474</c:v>
                </c:pt>
                <c:pt idx="19">
                  <c:v>24.360721671601148</c:v>
                </c:pt>
                <c:pt idx="20">
                  <c:v>23.386990905878111</c:v>
                </c:pt>
                <c:pt idx="21">
                  <c:v>22.323323209687494</c:v>
                </c:pt>
                <c:pt idx="22">
                  <c:v>21.188320512242818</c:v>
                </c:pt>
                <c:pt idx="23">
                  <c:v>20.010107275450796</c:v>
                </c:pt>
                <c:pt idx="24">
                  <c:v>18.820196924847842</c:v>
                </c:pt>
                <c:pt idx="25">
                  <c:v>17.646951360142175</c:v>
                </c:pt>
                <c:pt idx="26">
                  <c:v>16.51162674607809</c:v>
                </c:pt>
                <c:pt idx="27">
                  <c:v>15.427693152532081</c:v>
                </c:pt>
                <c:pt idx="28">
                  <c:v>14.40219829850173</c:v>
                </c:pt>
                <c:pt idx="29">
                  <c:v>13.43770119956681</c:v>
                </c:pt>
                <c:pt idx="30">
                  <c:v>12.533951040085938</c:v>
                </c:pt>
                <c:pt idx="31">
                  <c:v>11.689083355040657</c:v>
                </c:pt>
                <c:pt idx="32">
                  <c:v>10.900387464896257</c:v>
                </c:pt>
                <c:pt idx="33">
                  <c:v>10.164768989187859</c:v>
                </c:pt>
                <c:pt idx="34">
                  <c:v>9.4790168745984769</c:v>
                </c:pt>
                <c:pt idx="35">
                  <c:v>8.83995187071557</c:v>
                </c:pt>
                <c:pt idx="36">
                  <c:v>8.2445054031874072</c:v>
                </c:pt>
                <c:pt idx="37">
                  <c:v>7.6897584420709819</c:v>
                </c:pt>
                <c:pt idx="38">
                  <c:v>7.1729577672480014</c:v>
                </c:pt>
                <c:pt idx="39">
                  <c:v>6.6915196960100758</c:v>
                </c:pt>
                <c:pt idx="40">
                  <c:v>6.2430270334777447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66-441F-A93F-87788829CD3C}"/>
            </c:ext>
          </c:extLst>
        </c:ser>
        <c:ser>
          <c:idx val="1"/>
          <c:order val="1"/>
          <c:tx>
            <c:strRef>
              <c:f>'main calculations'!$N$9</c:f>
              <c:strCache>
                <c:ptCount val="1"/>
                <c:pt idx="0">
                  <c:v>Ethanol consumption (billion liters)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'main calculations'!$A$10:$A$50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'main calculations'!$N$10:$N$50</c:f>
              <c:numCache>
                <c:formatCode>0.00</c:formatCode>
                <c:ptCount val="41"/>
                <c:pt idx="0">
                  <c:v>52.260868636363625</c:v>
                </c:pt>
                <c:pt idx="1">
                  <c:v>52.208421817500039</c:v>
                </c:pt>
                <c:pt idx="2">
                  <c:v>51.410915622000061</c:v>
                </c:pt>
                <c:pt idx="3">
                  <c:v>51.361621608107384</c:v>
                </c:pt>
                <c:pt idx="4">
                  <c:v>51.773835467568802</c:v>
                </c:pt>
                <c:pt idx="5">
                  <c:v>51.732736027579335</c:v>
                </c:pt>
                <c:pt idx="6">
                  <c:v>52.147482488531864</c:v>
                </c:pt>
                <c:pt idx="7">
                  <c:v>51.802309285851038</c:v>
                </c:pt>
                <c:pt idx="8">
                  <c:v>51.86371409248602</c:v>
                </c:pt>
                <c:pt idx="9">
                  <c:v>51.772552084490485</c:v>
                </c:pt>
                <c:pt idx="10">
                  <c:v>51.45304198790086</c:v>
                </c:pt>
                <c:pt idx="11">
                  <c:v>51.097397092609015</c:v>
                </c:pt>
                <c:pt idx="12">
                  <c:v>50.730045405664271</c:v>
                </c:pt>
                <c:pt idx="13">
                  <c:v>50.31744029080312</c:v>
                </c:pt>
                <c:pt idx="14">
                  <c:v>49.842941918079134</c:v>
                </c:pt>
                <c:pt idx="15">
                  <c:v>49.285202143507377</c:v>
                </c:pt>
                <c:pt idx="16">
                  <c:v>48.618029530968499</c:v>
                </c:pt>
                <c:pt idx="17">
                  <c:v>47.811385550414002</c:v>
                </c:pt>
                <c:pt idx="18">
                  <c:v>46.834318819593932</c:v>
                </c:pt>
                <c:pt idx="19">
                  <c:v>45.660484910147204</c:v>
                </c:pt>
                <c:pt idx="20">
                  <c:v>44.275941425021074</c:v>
                </c:pt>
                <c:pt idx="21">
                  <c:v>42.686976271157448</c:v>
                </c:pt>
                <c:pt idx="22">
                  <c:v>40.923820131944808</c:v>
                </c:pt>
                <c:pt idx="23">
                  <c:v>39.03661381465929</c:v>
                </c:pt>
                <c:pt idx="24">
                  <c:v>37.084290345138129</c:v>
                </c:pt>
                <c:pt idx="25">
                  <c:v>35.121947220357185</c:v>
                </c:pt>
                <c:pt idx="26">
                  <c:v>33.192643984748315</c:v>
                </c:pt>
                <c:pt idx="27">
                  <c:v>31.325359631403387</c:v>
                </c:pt>
                <c:pt idx="28">
                  <c:v>29.53703838732855</c:v>
                </c:pt>
                <c:pt idx="29">
                  <c:v>27.835961619984687</c:v>
                </c:pt>
                <c:pt idx="30">
                  <c:v>26.224808830191932</c:v>
                </c:pt>
                <c:pt idx="31">
                  <c:v>24.702896607027554</c:v>
                </c:pt>
                <c:pt idx="32">
                  <c:v>23.267646050500986</c:v>
                </c:pt>
                <c:pt idx="33">
                  <c:v>21.915486401981354</c:v>
                </c:pt>
                <c:pt idx="34">
                  <c:v>20.642390302101404</c:v>
                </c:pt>
                <c:pt idx="35">
                  <c:v>19.444181996805156</c:v>
                </c:pt>
                <c:pt idx="36">
                  <c:v>18.316710099062249</c:v>
                </c:pt>
                <c:pt idx="37">
                  <c:v>17.25594112664723</c:v>
                </c:pt>
                <c:pt idx="38">
                  <c:v>16.258007314747232</c:v>
                </c:pt>
                <c:pt idx="39">
                  <c:v>15.319228333126915</c:v>
                </c:pt>
                <c:pt idx="40">
                  <c:v>14.436118297088029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66-441F-A93F-87788829C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12016"/>
        <c:axId val="531914096"/>
      </c:scatterChart>
      <c:valAx>
        <c:axId val="53191201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14096"/>
        <c:crosses val="autoZero"/>
        <c:crossBetween val="midCat"/>
      </c:valAx>
      <c:valAx>
        <c:axId val="5319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Planted corn area [million acres]</a:t>
                </a:r>
              </a:p>
              <a:p>
                <a:pPr>
                  <a:defRPr/>
                </a:pPr>
                <a:r>
                  <a:rPr lang="en-US"/>
                  <a:t>Ethanol consumption[billion liters]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1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Fertilizer use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'main calculations'!$AN$2</c:f>
              <c:strCache>
                <c:ptCount val="1"/>
                <c:pt idx="0">
                  <c:v>Nitrogen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calculations'!$A$25:$A$50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xVal>
          <c:yVal>
            <c:numRef>
              <c:f>'main calculations'!$AN$25:$AN$50</c:f>
              <c:numCache>
                <c:formatCode>0.0%</c:formatCode>
                <c:ptCount val="26"/>
                <c:pt idx="0">
                  <c:v>-3.0216249761971935E-3</c:v>
                </c:pt>
                <c:pt idx="1">
                  <c:v>-6.3065708244147258E-3</c:v>
                </c:pt>
                <c:pt idx="2">
                  <c:v>-9.930257137418871E-3</c:v>
                </c:pt>
                <c:pt idx="3">
                  <c:v>-1.3967463120773882E-2</c:v>
                </c:pt>
                <c:pt idx="4">
                  <c:v>-1.8477145575426152E-2</c:v>
                </c:pt>
                <c:pt idx="5">
                  <c:v>-2.3481985525121474E-2</c:v>
                </c:pt>
                <c:pt idx="6">
                  <c:v>-2.8949088718828495E-2</c:v>
                </c:pt>
                <c:pt idx="7">
                  <c:v>-3.4782843842058125E-2</c:v>
                </c:pt>
                <c:pt idx="8">
                  <c:v>-4.0838695094101027E-2</c:v>
                </c:pt>
                <c:pt idx="9">
                  <c:v>-4.6954667875172162E-2</c:v>
                </c:pt>
                <c:pt idx="10">
                  <c:v>-5.2984985987470506E-2</c:v>
                </c:pt>
                <c:pt idx="11">
                  <c:v>-5.8820395717100613E-2</c:v>
                </c:pt>
                <c:pt idx="12">
                  <c:v>-6.4391662788823092E-2</c:v>
                </c:pt>
                <c:pt idx="13">
                  <c:v>-6.9662562912685397E-2</c:v>
                </c:pt>
                <c:pt idx="14">
                  <c:v>-7.4619943106511724E-2</c:v>
                </c:pt>
                <c:pt idx="15">
                  <c:v>-7.9265092527619693E-2</c:v>
                </c:pt>
                <c:pt idx="16">
                  <c:v>-8.3607594265439858E-2</c:v>
                </c:pt>
                <c:pt idx="17">
                  <c:v>-8.7661380833664579E-2</c:v>
                </c:pt>
                <c:pt idx="18">
                  <c:v>-9.1442356915102843E-2</c:v>
                </c:pt>
                <c:pt idx="19">
                  <c:v>-9.4967026874705582E-2</c:v>
                </c:pt>
                <c:pt idx="20">
                  <c:v>-9.8251731614942911E-2</c:v>
                </c:pt>
                <c:pt idx="21">
                  <c:v>-0.10131224317881145</c:v>
                </c:pt>
                <c:pt idx="22">
                  <c:v>-0.10416356497196232</c:v>
                </c:pt>
                <c:pt idx="23">
                  <c:v>-0.10681984816073777</c:v>
                </c:pt>
                <c:pt idx="24">
                  <c:v>-0.10929437251290472</c:v>
                </c:pt>
                <c:pt idx="25">
                  <c:v>-0.11159956207207442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07-4410-AC1B-8CEA60356F3A}"/>
            </c:ext>
          </c:extLst>
        </c:ser>
        <c:ser>
          <c:idx val="1"/>
          <c:order val="1"/>
          <c:tx>
            <c:strRef>
              <c:f>'main calculations'!$AO$2</c:f>
              <c:strCache>
                <c:ptCount val="1"/>
                <c:pt idx="0">
                  <c:v>Phosphate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calculations'!$A$25:$A$50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xVal>
          <c:yVal>
            <c:numRef>
              <c:f>'main calculations'!$AO$25:$AO$50</c:f>
              <c:numCache>
                <c:formatCode>0.0%</c:formatCode>
                <c:ptCount val="26"/>
                <c:pt idx="0">
                  <c:v>-3.4009631766721664E-3</c:v>
                </c:pt>
                <c:pt idx="1">
                  <c:v>-7.0983048240165743E-3</c:v>
                </c:pt>
                <c:pt idx="2">
                  <c:v>-1.1176912795363234E-2</c:v>
                </c:pt>
                <c:pt idx="3">
                  <c:v>-1.5720954161909998E-2</c:v>
                </c:pt>
                <c:pt idx="4">
                  <c:v>-2.079678722775238E-2</c:v>
                </c:pt>
                <c:pt idx="5">
                  <c:v>-2.6429940417885652E-2</c:v>
                </c:pt>
                <c:pt idx="6">
                  <c:v>-3.2583389899980129E-2</c:v>
                </c:pt>
                <c:pt idx="7">
                  <c:v>-3.914952120751132E-2</c:v>
                </c:pt>
                <c:pt idx="8">
                  <c:v>-4.5965630841845323E-2</c:v>
                </c:pt>
                <c:pt idx="9">
                  <c:v>-5.2849409729631008E-2</c:v>
                </c:pt>
                <c:pt idx="10">
                  <c:v>-5.9636780765118337E-2</c:v>
                </c:pt>
                <c:pt idx="11">
                  <c:v>-6.6204774400199826E-2</c:v>
                </c:pt>
                <c:pt idx="12">
                  <c:v>-7.2475464610796569E-2</c:v>
                </c:pt>
                <c:pt idx="13">
                  <c:v>-7.8408079468823402E-2</c:v>
                </c:pt>
                <c:pt idx="14">
                  <c:v>-8.398781475191798E-2</c:v>
                </c:pt>
                <c:pt idx="15">
                  <c:v>-8.9216121459658557E-2</c:v>
                </c:pt>
                <c:pt idx="16">
                  <c:v>-9.4103785753308938E-2</c:v>
                </c:pt>
                <c:pt idx="17">
                  <c:v>-9.866648925001209E-2</c:v>
                </c:pt>
                <c:pt idx="18">
                  <c:v>-0.10292213332435819</c:v>
                </c:pt>
                <c:pt idx="19">
                  <c:v>-0.10688929431785046</c:v>
                </c:pt>
                <c:pt idx="20">
                  <c:v>-0.11058636458824746</c:v>
                </c:pt>
                <c:pt idx="21">
                  <c:v>-0.11403109621857567</c:v>
                </c:pt>
                <c:pt idx="22">
                  <c:v>-0.11724037615891865</c:v>
                </c:pt>
                <c:pt idx="23">
                  <c:v>-0.12023013212896894</c:v>
                </c:pt>
                <c:pt idx="24">
                  <c:v>-0.12301531105348586</c:v>
                </c:pt>
                <c:pt idx="25">
                  <c:v>-0.12560989670449935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07-4410-AC1B-8CEA60356F3A}"/>
            </c:ext>
          </c:extLst>
        </c:ser>
        <c:ser>
          <c:idx val="2"/>
          <c:order val="2"/>
          <c:tx>
            <c:strRef>
              <c:f>'main calculations'!$AP$2</c:f>
              <c:strCache>
                <c:ptCount val="1"/>
                <c:pt idx="0">
                  <c:v>Potash</c:v>
                </c:pt>
              </c:strCache>
            </c:strRef>
          </c:tx>
          <c:spPr>
            <a:ln w="571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'main calculations'!$A$25:$A$50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xVal>
          <c:yVal>
            <c:numRef>
              <c:f>'main calculations'!$AP$25:$AP$50</c:f>
              <c:numCache>
                <c:formatCode>0.0%</c:formatCode>
                <c:ptCount val="26"/>
                <c:pt idx="0">
                  <c:v>-1.7909327366518325E-3</c:v>
                </c:pt>
                <c:pt idx="1">
                  <c:v>-3.7379371147746856E-3</c:v>
                </c:pt>
                <c:pt idx="2">
                  <c:v>-5.8857147167072346E-3</c:v>
                </c:pt>
                <c:pt idx="3">
                  <c:v>-8.278587563984521E-3</c:v>
                </c:pt>
                <c:pt idx="4">
                  <c:v>-1.0951499657167477E-2</c:v>
                </c:pt>
                <c:pt idx="5">
                  <c:v>-1.3917894156227019E-2</c:v>
                </c:pt>
                <c:pt idx="6">
                  <c:v>-1.7158274468606557E-2</c:v>
                </c:pt>
                <c:pt idx="7">
                  <c:v>-2.0615971274168192E-2</c:v>
                </c:pt>
                <c:pt idx="8">
                  <c:v>-2.4205305602886633E-2</c:v>
                </c:pt>
                <c:pt idx="9">
                  <c:v>-2.7830274272518458E-2</c:v>
                </c:pt>
                <c:pt idx="10">
                  <c:v>-3.1404474977376147E-2</c:v>
                </c:pt>
                <c:pt idx="11">
                  <c:v>-3.4863152476700972E-2</c:v>
                </c:pt>
                <c:pt idx="12">
                  <c:v>-3.8165271257813091E-2</c:v>
                </c:pt>
                <c:pt idx="13">
                  <c:v>-4.1289360996880402E-2</c:v>
                </c:pt>
                <c:pt idx="14">
                  <c:v>-4.4227625853403611E-2</c:v>
                </c:pt>
                <c:pt idx="15">
                  <c:v>-4.6980829917586148E-2</c:v>
                </c:pt>
                <c:pt idx="16">
                  <c:v>-4.955465313605098E-2</c:v>
                </c:pt>
                <c:pt idx="17">
                  <c:v>-5.1957353381655295E-2</c:v>
                </c:pt>
                <c:pt idx="18">
                  <c:v>-5.4198357442082234E-2</c:v>
                </c:pt>
                <c:pt idx="19">
                  <c:v>-5.6287447539719121E-2</c:v>
                </c:pt>
                <c:pt idx="20">
                  <c:v>-5.8234309011896267E-2</c:v>
                </c:pt>
                <c:pt idx="21">
                  <c:v>-6.0048290029994629E-2</c:v>
                </c:pt>
                <c:pt idx="22">
                  <c:v>-6.1738283190068848E-2</c:v>
                </c:pt>
                <c:pt idx="23">
                  <c:v>-6.3312675961531506E-2</c:v>
                </c:pt>
                <c:pt idx="24">
                  <c:v>-6.4779339331356905E-2</c:v>
                </c:pt>
                <c:pt idx="25">
                  <c:v>-6.6145637094390614E-2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07-4410-AC1B-8CEA60356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61663"/>
        <c:axId val="1017558335"/>
      </c:scatterChart>
      <c:valAx>
        <c:axId val="1017561663"/>
        <c:scaling>
          <c:orientation val="minMax"/>
          <c:max val="2050"/>
          <c:min val="20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58335"/>
        <c:crossesAt val="-0.30000000000000004"/>
        <c:crossBetween val="midCat"/>
      </c:valAx>
      <c:valAx>
        <c:axId val="10175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6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Farmer Income - Ethanol + PV Owners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Ethanol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'main calculations'!$A$10:$A$50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'main calculations'!$AS$10:$AS$50</c:f>
              <c:numCache>
                <c:formatCode>_("$"* #,##0.00_);_("$"* \(#,##0.00\);_("$"* "-"??_);_(@_)</c:formatCode>
                <c:ptCount val="41"/>
                <c:pt idx="0">
                  <c:v>7.9018433378181792</c:v>
                </c:pt>
                <c:pt idx="1">
                  <c:v>7.8939133788060056</c:v>
                </c:pt>
                <c:pt idx="2">
                  <c:v>7.7733304420464089</c:v>
                </c:pt>
                <c:pt idx="3">
                  <c:v>7.7658771871458363</c:v>
                </c:pt>
                <c:pt idx="4">
                  <c:v>7.8282039226964031</c:v>
                </c:pt>
                <c:pt idx="5">
                  <c:v>7.8219896873699959</c:v>
                </c:pt>
                <c:pt idx="6">
                  <c:v>7.8846993522660167</c:v>
                </c:pt>
                <c:pt idx="7">
                  <c:v>7.8325091640206761</c:v>
                </c:pt>
                <c:pt idx="8">
                  <c:v>7.8417935707838868</c:v>
                </c:pt>
                <c:pt idx="9">
                  <c:v>7.8280098751749607</c:v>
                </c:pt>
                <c:pt idx="10">
                  <c:v>7.7796999485706095</c:v>
                </c:pt>
                <c:pt idx="11">
                  <c:v>7.7259264404024837</c:v>
                </c:pt>
                <c:pt idx="12">
                  <c:v>7.6703828653364372</c:v>
                </c:pt>
                <c:pt idx="13">
                  <c:v>7.6079969719694311</c:v>
                </c:pt>
                <c:pt idx="14">
                  <c:v>7.5362528180135655</c:v>
                </c:pt>
                <c:pt idx="15">
                  <c:v>7.4519225640983153</c:v>
                </c:pt>
                <c:pt idx="16">
                  <c:v>7.3510460650824365</c:v>
                </c:pt>
                <c:pt idx="17">
                  <c:v>7.229081495222597</c:v>
                </c:pt>
                <c:pt idx="18">
                  <c:v>7.0813490055226023</c:v>
                </c:pt>
                <c:pt idx="19">
                  <c:v>6.9038653184142564</c:v>
                </c:pt>
                <c:pt idx="20">
                  <c:v>6.694522343463186</c:v>
                </c:pt>
                <c:pt idx="21">
                  <c:v>6.454270812199006</c:v>
                </c:pt>
                <c:pt idx="22">
                  <c:v>6.1876816039500548</c:v>
                </c:pt>
                <c:pt idx="23">
                  <c:v>5.9023360087764845</c:v>
                </c:pt>
                <c:pt idx="24">
                  <c:v>5.6071447001848851</c:v>
                </c:pt>
                <c:pt idx="25">
                  <c:v>5.3104384197180066</c:v>
                </c:pt>
                <c:pt idx="26">
                  <c:v>5.0187277704939453</c:v>
                </c:pt>
                <c:pt idx="27">
                  <c:v>4.7363943762681924</c:v>
                </c:pt>
                <c:pt idx="28">
                  <c:v>4.4660002041640769</c:v>
                </c:pt>
                <c:pt idx="29">
                  <c:v>4.2087973969416845</c:v>
                </c:pt>
                <c:pt idx="30">
                  <c:v>3.9651910951250198</c:v>
                </c:pt>
                <c:pt idx="31">
                  <c:v>3.735077966982566</c:v>
                </c:pt>
                <c:pt idx="32">
                  <c:v>3.5180680828357489</c:v>
                </c:pt>
                <c:pt idx="33">
                  <c:v>3.3136215439795804</c:v>
                </c:pt>
                <c:pt idx="34">
                  <c:v>3.1211294136777323</c:v>
                </c:pt>
                <c:pt idx="35">
                  <c:v>2.9399603179169396</c:v>
                </c:pt>
                <c:pt idx="36">
                  <c:v>2.769486566978212</c:v>
                </c:pt>
                <c:pt idx="37">
                  <c:v>2.6090982983490614</c:v>
                </c:pt>
                <c:pt idx="38">
                  <c:v>2.4582107059897815</c:v>
                </c:pt>
                <c:pt idx="39">
                  <c:v>2.3162673239687894</c:v>
                </c:pt>
                <c:pt idx="40">
                  <c:v>2.1827410865197101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6-4195-AB56-0C9FC83B9248}"/>
            </c:ext>
          </c:extLst>
        </c:ser>
        <c:ser>
          <c:idx val="1"/>
          <c:order val="1"/>
          <c:tx>
            <c:v>Solar PV Electricity sales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'main calculations'!$A$10:$A$50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'main calculations'!$AU$10:$AU$50</c:f>
              <c:numCache>
                <c:formatCode>"$"#,##0.00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6.3782872218490067E-5</c:v>
                </c:pt>
                <c:pt idx="11">
                  <c:v>2.5513148887396027E-4</c:v>
                </c:pt>
                <c:pt idx="12">
                  <c:v>1.0205259554958411E-3</c:v>
                </c:pt>
                <c:pt idx="13">
                  <c:v>4.0821038219833643E-3</c:v>
                </c:pt>
                <c:pt idx="14">
                  <c:v>1.6328415287933457E-2</c:v>
                </c:pt>
                <c:pt idx="15">
                  <c:v>6.5313661151733829E-2</c:v>
                </c:pt>
                <c:pt idx="16">
                  <c:v>0.26125464460693532</c:v>
                </c:pt>
                <c:pt idx="17">
                  <c:v>0.55736158332670271</c:v>
                </c:pt>
                <c:pt idx="18">
                  <c:v>0.88725898653799784</c:v>
                </c:pt>
                <c:pt idx="19">
                  <c:v>1.2557644671181547</c:v>
                </c:pt>
                <c:pt idx="20">
                  <c:v>1.66473138872183</c:v>
                </c:pt>
                <c:pt idx="21">
                  <c:v>2.111471821121889</c:v>
                </c:pt>
                <c:pt idx="22">
                  <c:v>2.5881729540486536</c:v>
                </c:pt>
                <c:pt idx="23">
                  <c:v>3.0830225135013025</c:v>
                </c:pt>
                <c:pt idx="24">
                  <c:v>3.5827848607545443</c:v>
                </c:pt>
                <c:pt idx="25">
                  <c:v>4.0755479979309239</c:v>
                </c:pt>
                <c:pt idx="26">
                  <c:v>4.5523843358378402</c:v>
                </c:pt>
                <c:pt idx="27">
                  <c:v>5.0076364451271633</c:v>
                </c:pt>
                <c:pt idx="28">
                  <c:v>5.4383442838199114</c:v>
                </c:pt>
                <c:pt idx="29">
                  <c:v>5.8434330653725777</c:v>
                </c:pt>
                <c:pt idx="30">
                  <c:v>6.2230081323545434</c:v>
                </c:pt>
                <c:pt idx="31">
                  <c:v>6.5778525600735627</c:v>
                </c:pt>
                <c:pt idx="32">
                  <c:v>6.9091048339342107</c:v>
                </c:pt>
                <c:pt idx="33">
                  <c:v>7.2180645937317367</c:v>
                </c:pt>
                <c:pt idx="34">
                  <c:v>7.5060804818592759</c:v>
                </c:pt>
                <c:pt idx="35">
                  <c:v>7.7744877834900992</c:v>
                </c:pt>
                <c:pt idx="36">
                  <c:v>8.0245752998519269</c:v>
                </c:pt>
                <c:pt idx="37">
                  <c:v>8.2575690235208246</c:v>
                </c:pt>
                <c:pt idx="38">
                  <c:v>8.4746253069464785</c:v>
                </c:pt>
                <c:pt idx="39">
                  <c:v>8.6768292968664049</c:v>
                </c:pt>
                <c:pt idx="40">
                  <c:v>8.8651962151299859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6-4195-AB56-0C9FC83B9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476160"/>
        <c:axId val="1893467008"/>
      </c:areaChart>
      <c:catAx>
        <c:axId val="189347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670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934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[billion US$]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7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Farmer Income - Ethanol + PV Lease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Ethanol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'main calculations'!$A$20:$A$50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'main calculations'!$AX$20:$AX$50</c:f>
              <c:numCache>
                <c:formatCode>"$"#,##0_);[Red]\("$"#,##0\)</c:formatCode>
                <c:ptCount val="31"/>
                <c:pt idx="0">
                  <c:v>8169.9120679086373</c:v>
                </c:pt>
                <c:pt idx="1">
                  <c:v>8032.7086640028674</c:v>
                </c:pt>
                <c:pt idx="2">
                  <c:v>7895.6047806396709</c:v>
                </c:pt>
                <c:pt idx="3">
                  <c:v>7753.4609200743143</c:v>
                </c:pt>
                <c:pt idx="4">
                  <c:v>7603.9218107323495</c:v>
                </c:pt>
                <c:pt idx="5">
                  <c:v>7444.0182392028719</c:v>
                </c:pt>
                <c:pt idx="6">
                  <c:v>7270.1797987780164</c:v>
                </c:pt>
                <c:pt idx="7">
                  <c:v>7078.4153051309286</c:v>
                </c:pt>
                <c:pt idx="8">
                  <c:v>6864.7674630512329</c:v>
                </c:pt>
                <c:pt idx="9">
                  <c:v>6626.1162946755121</c:v>
                </c:pt>
                <c:pt idx="10">
                  <c:v>6361.2615263988464</c:v>
                </c:pt>
                <c:pt idx="11">
                  <c:v>6071.9439130349983</c:v>
                </c:pt>
                <c:pt idx="12">
                  <c:v>5763.2231793300462</c:v>
                </c:pt>
                <c:pt idx="13">
                  <c:v>5442.7491789226169</c:v>
                </c:pt>
                <c:pt idx="14">
                  <c:v>5119.0935635586129</c:v>
                </c:pt>
                <c:pt idx="15">
                  <c:v>4799.9707699586716</c:v>
                </c:pt>
                <c:pt idx="16">
                  <c:v>4491.1624749332404</c:v>
                </c:pt>
                <c:pt idx="17">
                  <c:v>4196.3325374887263</c:v>
                </c:pt>
                <c:pt idx="18">
                  <c:v>3917.3979371924706</c:v>
                </c:pt>
                <c:pt idx="19">
                  <c:v>3655.0547262821724</c:v>
                </c:pt>
                <c:pt idx="20">
                  <c:v>3409.234682903375</c:v>
                </c:pt>
                <c:pt idx="21">
                  <c:v>3179.4306725710585</c:v>
                </c:pt>
                <c:pt idx="22">
                  <c:v>2964.9053904517818</c:v>
                </c:pt>
                <c:pt idx="23">
                  <c:v>2764.8171650590975</c:v>
                </c:pt>
                <c:pt idx="24">
                  <c:v>2578.2925898907856</c:v>
                </c:pt>
                <c:pt idx="25">
                  <c:v>2404.466908834635</c:v>
                </c:pt>
                <c:pt idx="26">
                  <c:v>2242.5054696669749</c:v>
                </c:pt>
                <c:pt idx="27">
                  <c:v>2091.6142962433069</c:v>
                </c:pt>
                <c:pt idx="28">
                  <c:v>1951.0445126914565</c:v>
                </c:pt>
                <c:pt idx="29">
                  <c:v>1820.0933573147406</c:v>
                </c:pt>
                <c:pt idx="30">
                  <c:v>1698.1033531059466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E-4892-837B-7BC03FA87CBF}"/>
            </c:ext>
          </c:extLst>
        </c:ser>
        <c:ser>
          <c:idx val="1"/>
          <c:order val="1"/>
          <c:tx>
            <c:v>Solar PV Lease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'main calculations'!$A$20:$A$50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'main calculations'!$BA$20:$BA$50</c:f>
              <c:numCache>
                <c:formatCode>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10.885610191955637</c:v>
                </c:pt>
                <c:pt idx="6">
                  <c:v>43.542440767822548</c:v>
                </c:pt>
                <c:pt idx="7">
                  <c:v>92.893597221117133</c:v>
                </c:pt>
                <c:pt idx="8">
                  <c:v>147.87649775633298</c:v>
                </c:pt>
                <c:pt idx="9">
                  <c:v>209.29407785302581</c:v>
                </c:pt>
                <c:pt idx="10">
                  <c:v>277.45523145363836</c:v>
                </c:pt>
                <c:pt idx="11">
                  <c:v>351.91197018698153</c:v>
                </c:pt>
                <c:pt idx="12">
                  <c:v>431.3621590081089</c:v>
                </c:pt>
                <c:pt idx="13">
                  <c:v>513.83708558355045</c:v>
                </c:pt>
                <c:pt idx="14">
                  <c:v>597.13081012575731</c:v>
                </c:pt>
                <c:pt idx="15">
                  <c:v>679.25799965515398</c:v>
                </c:pt>
                <c:pt idx="16">
                  <c:v>758.73072263963991</c:v>
                </c:pt>
                <c:pt idx="17">
                  <c:v>834.6060741878606</c:v>
                </c:pt>
                <c:pt idx="18">
                  <c:v>906.3907139699852</c:v>
                </c:pt>
                <c:pt idx="19">
                  <c:v>973.90551089542953</c:v>
                </c:pt>
                <c:pt idx="20">
                  <c:v>1037.1680220590906</c:v>
                </c:pt>
                <c:pt idx="21">
                  <c:v>1096.3087600122603</c:v>
                </c:pt>
                <c:pt idx="22">
                  <c:v>1151.5174723223683</c:v>
                </c:pt>
                <c:pt idx="23">
                  <c:v>1203.0107656219561</c:v>
                </c:pt>
                <c:pt idx="24">
                  <c:v>1251.0134136432127</c:v>
                </c:pt>
                <c:pt idx="25">
                  <c:v>1295.7479639150165</c:v>
                </c:pt>
                <c:pt idx="26">
                  <c:v>1337.4292166419878</c:v>
                </c:pt>
                <c:pt idx="27">
                  <c:v>1376.2615039201376</c:v>
                </c:pt>
                <c:pt idx="28">
                  <c:v>1412.4375511577464</c:v>
                </c:pt>
                <c:pt idx="29">
                  <c:v>1446.138216144401</c:v>
                </c:pt>
                <c:pt idx="30">
                  <c:v>1477.5327025216643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E-4892-837B-7BC03FA87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019600"/>
        <c:axId val="1792997968"/>
      </c:areaChart>
      <c:catAx>
        <c:axId val="179301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97968"/>
        <c:crosses val="autoZero"/>
        <c:auto val="1"/>
        <c:lblAlgn val="ctr"/>
        <c:lblOffset val="100"/>
        <c:noMultiLvlLbl val="0"/>
      </c:catAx>
      <c:valAx>
        <c:axId val="17929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US Income [million US$ per year]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</a:t>
            </a:r>
            <a:r>
              <a:rPr lang="en-US" baseline="0"/>
              <a:t> Employment in Ethanol and Solar PV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'main calculations'!$BD$2</c:f>
              <c:strCache>
                <c:ptCount val="1"/>
                <c:pt idx="0">
                  <c:v>Jobs in ethanol, 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'main calculations'!$A$10:$A$50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'main calculations'!$BD$10:$BD$50</c:f>
              <c:numCache>
                <c:formatCode>0</c:formatCode>
                <c:ptCount val="41"/>
                <c:pt idx="0">
                  <c:v>15678.260590909087</c:v>
                </c:pt>
                <c:pt idx="1">
                  <c:v>15662.526545250012</c:v>
                </c:pt>
                <c:pt idx="2">
                  <c:v>15423.274686600018</c:v>
                </c:pt>
                <c:pt idx="3">
                  <c:v>15408.486482432216</c:v>
                </c:pt>
                <c:pt idx="4">
                  <c:v>15532.15064027064</c:v>
                </c:pt>
                <c:pt idx="5">
                  <c:v>15519.8208082738</c:v>
                </c:pt>
                <c:pt idx="6">
                  <c:v>15644.24474655956</c:v>
                </c:pt>
                <c:pt idx="7">
                  <c:v>15540.692785755311</c:v>
                </c:pt>
                <c:pt idx="8">
                  <c:v>15559.114227745806</c:v>
                </c:pt>
                <c:pt idx="9">
                  <c:v>15531.765625347145</c:v>
                </c:pt>
                <c:pt idx="10">
                  <c:v>15435.912596370257</c:v>
                </c:pt>
                <c:pt idx="11">
                  <c:v>15329.219127782704</c:v>
                </c:pt>
                <c:pt idx="12">
                  <c:v>15219.013621699281</c:v>
                </c:pt>
                <c:pt idx="13">
                  <c:v>15095.232087240936</c:v>
                </c:pt>
                <c:pt idx="14">
                  <c:v>14952.88257542374</c:v>
                </c:pt>
                <c:pt idx="15">
                  <c:v>14785.560643052213</c:v>
                </c:pt>
                <c:pt idx="16">
                  <c:v>14585.40885929055</c:v>
                </c:pt>
                <c:pt idx="17">
                  <c:v>14343.415665124201</c:v>
                </c:pt>
                <c:pt idx="18">
                  <c:v>14050.295645878179</c:v>
                </c:pt>
                <c:pt idx="19">
                  <c:v>13698.145473044162</c:v>
                </c:pt>
                <c:pt idx="20">
                  <c:v>13282.782427506321</c:v>
                </c:pt>
                <c:pt idx="21">
                  <c:v>12806.092881347235</c:v>
                </c:pt>
                <c:pt idx="22">
                  <c:v>12277.146039583442</c:v>
                </c:pt>
                <c:pt idx="23">
                  <c:v>11710.984144397788</c:v>
                </c:pt>
                <c:pt idx="24">
                  <c:v>11125.287103541439</c:v>
                </c:pt>
                <c:pt idx="25">
                  <c:v>10536.584166107155</c:v>
                </c:pt>
                <c:pt idx="26">
                  <c:v>9957.7931954244941</c:v>
                </c:pt>
                <c:pt idx="27">
                  <c:v>9397.6078894210168</c:v>
                </c:pt>
                <c:pt idx="28">
                  <c:v>8861.1115161985654</c:v>
                </c:pt>
                <c:pt idx="29">
                  <c:v>8350.7884859954065</c:v>
                </c:pt>
                <c:pt idx="30">
                  <c:v>7867.4426490575797</c:v>
                </c:pt>
                <c:pt idx="31">
                  <c:v>7410.8689821082662</c:v>
                </c:pt>
                <c:pt idx="32">
                  <c:v>6980.2938151502958</c:v>
                </c:pt>
                <c:pt idx="33">
                  <c:v>6574.6459205944066</c:v>
                </c:pt>
                <c:pt idx="34">
                  <c:v>6192.7170906304209</c:v>
                </c:pt>
                <c:pt idx="35">
                  <c:v>5833.2545990415465</c:v>
                </c:pt>
                <c:pt idx="36">
                  <c:v>5495.0130297186743</c:v>
                </c:pt>
                <c:pt idx="37">
                  <c:v>5176.7823379941692</c:v>
                </c:pt>
                <c:pt idx="38">
                  <c:v>4877.4021944241695</c:v>
                </c:pt>
                <c:pt idx="39">
                  <c:v>4595.7684999380745</c:v>
                </c:pt>
                <c:pt idx="40">
                  <c:v>4330.8354891264089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D-42D8-B693-3465184324A8}"/>
            </c:ext>
          </c:extLst>
        </c:ser>
        <c:ser>
          <c:idx val="3"/>
          <c:order val="1"/>
          <c:tx>
            <c:strRef>
              <c:f>'main calculations'!$BE$2</c:f>
              <c:strCache>
                <c:ptCount val="1"/>
                <c:pt idx="0">
                  <c:v>Jobs in ethanol, other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'main calculations'!$A$10:$A$50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'main calculations'!$BE$10:$BE$50</c:f>
              <c:numCache>
                <c:formatCode>0</c:formatCode>
                <c:ptCount val="41"/>
                <c:pt idx="0">
                  <c:v>18813.912709090906</c:v>
                </c:pt>
                <c:pt idx="1">
                  <c:v>18795.031854300014</c:v>
                </c:pt>
                <c:pt idx="2">
                  <c:v>18507.929623920023</c:v>
                </c:pt>
                <c:pt idx="3">
                  <c:v>18490.183778918657</c:v>
                </c:pt>
                <c:pt idx="4">
                  <c:v>18638.580768324769</c:v>
                </c:pt>
                <c:pt idx="5">
                  <c:v>18623.784969928562</c:v>
                </c:pt>
                <c:pt idx="6">
                  <c:v>18773.09369587147</c:v>
                </c:pt>
                <c:pt idx="7">
                  <c:v>18648.831342906375</c:v>
                </c:pt>
                <c:pt idx="8">
                  <c:v>18670.937073294968</c:v>
                </c:pt>
                <c:pt idx="9">
                  <c:v>18638.118750416575</c:v>
                </c:pt>
                <c:pt idx="10">
                  <c:v>18523.095115644312</c:v>
                </c:pt>
                <c:pt idx="11">
                  <c:v>18395.062953339246</c:v>
                </c:pt>
                <c:pt idx="12">
                  <c:v>18262.816346039137</c:v>
                </c:pt>
                <c:pt idx="13">
                  <c:v>18114.278504689122</c:v>
                </c:pt>
                <c:pt idx="14">
                  <c:v>17943.459090508488</c:v>
                </c:pt>
                <c:pt idx="15">
                  <c:v>17742.672771662656</c:v>
                </c:pt>
                <c:pt idx="16">
                  <c:v>17502.490631148659</c:v>
                </c:pt>
                <c:pt idx="17">
                  <c:v>17212.09879814904</c:v>
                </c:pt>
                <c:pt idx="18">
                  <c:v>16860.354775053816</c:v>
                </c:pt>
                <c:pt idx="19">
                  <c:v>16437.774567652992</c:v>
                </c:pt>
                <c:pt idx="20">
                  <c:v>15939.338913007587</c:v>
                </c:pt>
                <c:pt idx="21">
                  <c:v>15367.311457616681</c:v>
                </c:pt>
                <c:pt idx="22">
                  <c:v>14732.575247500132</c:v>
                </c:pt>
                <c:pt idx="23">
                  <c:v>14053.180973277344</c:v>
                </c:pt>
                <c:pt idx="24">
                  <c:v>13350.344524249726</c:v>
                </c:pt>
                <c:pt idx="25">
                  <c:v>12643.900999328587</c:v>
                </c:pt>
                <c:pt idx="26">
                  <c:v>11949.351834509394</c:v>
                </c:pt>
                <c:pt idx="27">
                  <c:v>11277.12946730522</c:v>
                </c:pt>
                <c:pt idx="28">
                  <c:v>10633.333819438278</c:v>
                </c:pt>
                <c:pt idx="29">
                  <c:v>10020.946183194486</c:v>
                </c:pt>
                <c:pt idx="30">
                  <c:v>9440.9311788690957</c:v>
                </c:pt>
                <c:pt idx="31">
                  <c:v>8893.0427785299198</c:v>
                </c:pt>
                <c:pt idx="32">
                  <c:v>8376.3525781803546</c:v>
                </c:pt>
                <c:pt idx="33">
                  <c:v>7889.5751047132871</c:v>
                </c:pt>
                <c:pt idx="34">
                  <c:v>7431.2605087565053</c:v>
                </c:pt>
                <c:pt idx="35">
                  <c:v>6999.905518849856</c:v>
                </c:pt>
                <c:pt idx="36">
                  <c:v>6594.0156356624093</c:v>
                </c:pt>
                <c:pt idx="37">
                  <c:v>6212.1388055930029</c:v>
                </c:pt>
                <c:pt idx="38">
                  <c:v>5852.8826333090037</c:v>
                </c:pt>
                <c:pt idx="39">
                  <c:v>5514.9221999256897</c:v>
                </c:pt>
                <c:pt idx="40">
                  <c:v>5197.0025869516903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D-42D8-B693-3465184324A8}"/>
            </c:ext>
          </c:extLst>
        </c:ser>
        <c:ser>
          <c:idx val="1"/>
          <c:order val="2"/>
          <c:tx>
            <c:strRef>
              <c:f>'main calculations'!$BF$2</c:f>
              <c:strCache>
                <c:ptCount val="1"/>
                <c:pt idx="0">
                  <c:v>Solar jobs, C&amp;I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'main calculations'!$A$10:$A$50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'main calculations'!$BF$10:$BF$50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">
                  <c:v>6.3782872218490061</c:v>
                </c:pt>
                <c:pt idx="11" formatCode="0">
                  <c:v>19.134861665547021</c:v>
                </c:pt>
                <c:pt idx="12" formatCode="0">
                  <c:v>76.539446662188084</c:v>
                </c:pt>
                <c:pt idx="13" formatCode="0">
                  <c:v>306.15778664875234</c:v>
                </c:pt>
                <c:pt idx="14" formatCode="0">
                  <c:v>1224.6311465950093</c:v>
                </c:pt>
                <c:pt idx="15" formatCode="0">
                  <c:v>4898.5245863800374</c:v>
                </c:pt>
                <c:pt idx="16" formatCode="0">
                  <c:v>19594.098345520149</c:v>
                </c:pt>
                <c:pt idx="17" formatCode="0">
                  <c:v>29610.693871976753</c:v>
                </c:pt>
                <c:pt idx="18" formatCode="0">
                  <c:v>32989.740321129517</c:v>
                </c:pt>
                <c:pt idx="19" formatCode="0">
                  <c:v>36850.548058015687</c:v>
                </c:pt>
                <c:pt idx="20" formatCode="0">
                  <c:v>40896.692160367536</c:v>
                </c:pt>
                <c:pt idx="21" formatCode="0">
                  <c:v>44674.043240005914</c:v>
                </c:pt>
                <c:pt idx="22" formatCode="0">
                  <c:v>47670.113292676418</c:v>
                </c:pt>
                <c:pt idx="23" formatCode="0">
                  <c:v>49484.955945264919</c:v>
                </c:pt>
                <c:pt idx="24" formatCode="0">
                  <c:v>49976.23472532411</c:v>
                </c:pt>
                <c:pt idx="25" formatCode="0">
                  <c:v>49276.313717638019</c:v>
                </c:pt>
                <c:pt idx="26" formatCode="0">
                  <c:v>47683.633790691558</c:v>
                </c:pt>
                <c:pt idx="27" formatCode="0">
                  <c:v>45525.2109289324</c:v>
                </c:pt>
                <c:pt idx="28" formatCode="0">
                  <c:v>43070.783869274739</c:v>
                </c:pt>
                <c:pt idx="29" formatCode="0">
                  <c:v>40508.878155266626</c:v>
                </c:pt>
                <c:pt idx="30" formatCode="0">
                  <c:v>37957.506698196667</c:v>
                </c:pt>
                <c:pt idx="31" formatCode="0">
                  <c:v>35484.442771901791</c:v>
                </c:pt>
                <c:pt idx="32" formatCode="0">
                  <c:v>33125.227386064893</c:v>
                </c:pt>
                <c:pt idx="33" formatCode="0">
                  <c:v>30895.975979752642</c:v>
                </c:pt>
                <c:pt idx="34" formatCode="0">
                  <c:v>28801.588812753918</c:v>
                </c:pt>
                <c:pt idx="35" formatCode="0">
                  <c:v>26840.730163082237</c:v>
                </c:pt>
                <c:pt idx="36" formatCode="0">
                  <c:v>25008.751636182722</c:v>
                </c:pt>
                <c:pt idx="37" formatCode="0">
                  <c:v>23299.372366889947</c:v>
                </c:pt>
                <c:pt idx="38" formatCode="0">
                  <c:v>21705.628342565218</c:v>
                </c:pt>
                <c:pt idx="39" formatCode="0">
                  <c:v>20220.398991992817</c:v>
                </c:pt>
                <c:pt idx="40" formatCode="0">
                  <c:v>18836.691826357965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1D-42D8-B693-3465184324A8}"/>
            </c:ext>
          </c:extLst>
        </c:ser>
        <c:ser>
          <c:idx val="2"/>
          <c:order val="3"/>
          <c:tx>
            <c:strRef>
              <c:f>'main calculations'!$BG$2</c:f>
              <c:strCache>
                <c:ptCount val="1"/>
                <c:pt idx="0">
                  <c:v>Solar jobs, O&amp;M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'main calculations'!$A$10:$A$50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'main calculations'!$BG$10:$BG$50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">
                  <c:v>1.4882670184314351E-2</c:v>
                </c:pt>
                <c:pt idx="11" formatCode="0">
                  <c:v>5.9530680737257403E-2</c:v>
                </c:pt>
                <c:pt idx="12" formatCode="0">
                  <c:v>0.23812272294902961</c:v>
                </c:pt>
                <c:pt idx="13" formatCode="0">
                  <c:v>0.95249089179611846</c:v>
                </c:pt>
                <c:pt idx="14" formatCode="0">
                  <c:v>3.8099635671844738</c:v>
                </c:pt>
                <c:pt idx="15" formatCode="0">
                  <c:v>15.239854268737895</c:v>
                </c:pt>
                <c:pt idx="16" formatCode="0">
                  <c:v>60.959417074951581</c:v>
                </c:pt>
                <c:pt idx="17" formatCode="0">
                  <c:v>130.051036109564</c:v>
                </c:pt>
                <c:pt idx="18" formatCode="0">
                  <c:v>207.0270968588662</c:v>
                </c:pt>
                <c:pt idx="19" formatCode="0">
                  <c:v>293.01170899423619</c:v>
                </c:pt>
                <c:pt idx="20" formatCode="0">
                  <c:v>388.43732403509381</c:v>
                </c:pt>
                <c:pt idx="21" formatCode="0">
                  <c:v>492.6767582617743</c:v>
                </c:pt>
                <c:pt idx="22" formatCode="0">
                  <c:v>603.90702261135255</c:v>
                </c:pt>
                <c:pt idx="23" formatCode="0">
                  <c:v>719.37191981697072</c:v>
                </c:pt>
                <c:pt idx="24" formatCode="0">
                  <c:v>835.9831341760605</c:v>
                </c:pt>
                <c:pt idx="25" formatCode="0">
                  <c:v>950.96119951721562</c:v>
                </c:pt>
                <c:pt idx="26" formatCode="0">
                  <c:v>1062.2230116954961</c:v>
                </c:pt>
                <c:pt idx="27" formatCode="0">
                  <c:v>1168.4485038630048</c:v>
                </c:pt>
                <c:pt idx="28" formatCode="0">
                  <c:v>1268.9469995579796</c:v>
                </c:pt>
                <c:pt idx="29" formatCode="0">
                  <c:v>1363.4677152536015</c:v>
                </c:pt>
                <c:pt idx="30" formatCode="0">
                  <c:v>1452.0352308827269</c:v>
                </c:pt>
                <c:pt idx="31" formatCode="0">
                  <c:v>1534.8322640171648</c:v>
                </c:pt>
                <c:pt idx="32" formatCode="0">
                  <c:v>1612.124461251316</c:v>
                </c:pt>
                <c:pt idx="33" formatCode="0">
                  <c:v>1684.2150718707389</c:v>
                </c:pt>
                <c:pt idx="34" formatCode="0">
                  <c:v>1751.4187791004981</c:v>
                </c:pt>
                <c:pt idx="35" formatCode="0">
                  <c:v>1814.0471494810233</c:v>
                </c:pt>
                <c:pt idx="36" formatCode="0">
                  <c:v>1872.4009032987829</c:v>
                </c:pt>
                <c:pt idx="37" formatCode="0">
                  <c:v>1926.7661054881928</c:v>
                </c:pt>
                <c:pt idx="38" formatCode="0">
                  <c:v>1977.4125716208453</c:v>
                </c:pt>
                <c:pt idx="39" formatCode="0">
                  <c:v>2024.5935026021616</c:v>
                </c:pt>
                <c:pt idx="40" formatCode="0">
                  <c:v>2068.54578353033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1D-42D8-B693-346518432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02032"/>
        <c:axId val="436996624"/>
      </c:areaChart>
      <c:catAx>
        <c:axId val="43700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966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436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0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 fraction in fleet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for plots'!$B$2</c:f>
              <c:strCache>
                <c:ptCount val="1"/>
                <c:pt idx="0">
                  <c:v>25% sales by 2030</c:v>
                </c:pt>
              </c:strCache>
            </c:strRef>
          </c:tx>
          <c:spPr>
            <a:ln w="571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'data for plots'!$A$3:$A$43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plots'!$B$3:$B$43</c:f>
              <c:numCache>
                <c:formatCode>0.0%</c:formatCode>
                <c:ptCount val="41"/>
                <c:pt idx="0">
                  <c:v>1.6508690087574258E-5</c:v>
                </c:pt>
                <c:pt idx="1">
                  <c:v>9.4708506588913845E-5</c:v>
                </c:pt>
                <c:pt idx="2">
                  <c:v>3.2452500356977505E-4</c:v>
                </c:pt>
                <c:pt idx="3">
                  <c:v>7.3720425572586961E-4</c:v>
                </c:pt>
                <c:pt idx="4">
                  <c:v>1.2201438170895023E-3</c:v>
                </c:pt>
                <c:pt idx="5">
                  <c:v>1.6667055564629841E-3</c:v>
                </c:pt>
                <c:pt idx="6">
                  <c:v>2.3310519014840209E-3</c:v>
                </c:pt>
                <c:pt idx="7">
                  <c:v>3.0951191193245801E-3</c:v>
                </c:pt>
                <c:pt idx="8">
                  <c:v>4.5038958740261223E-3</c:v>
                </c:pt>
                <c:pt idx="9">
                  <c:v>5.7754056558723043E-3</c:v>
                </c:pt>
                <c:pt idx="10">
                  <c:v>6.8960067532803648E-3</c:v>
                </c:pt>
                <c:pt idx="11">
                  <c:v>8.7545805411347929E-3</c:v>
                </c:pt>
                <c:pt idx="12">
                  <c:v>1.1343608370684053E-2</c:v>
                </c:pt>
                <c:pt idx="13">
                  <c:v>1.454106717866418E-2</c:v>
                </c:pt>
                <c:pt idx="14">
                  <c:v>1.8486018361582101E-2</c:v>
                </c:pt>
                <c:pt idx="15">
                  <c:v>2.3342854583489201E-2</c:v>
                </c:pt>
                <c:pt idx="16">
                  <c:v>2.9302714556426957E-2</c:v>
                </c:pt>
                <c:pt idx="17">
                  <c:v>3.6583117585069568E-2</c:v>
                </c:pt>
                <c:pt idx="18">
                  <c:v>4.5424770578946248E-2</c:v>
                </c:pt>
                <c:pt idx="19">
                  <c:v>5.6084324164491217E-2</c:v>
                </c:pt>
                <c:pt idx="20">
                  <c:v>6.8821883796566757E-2</c:v>
                </c:pt>
                <c:pt idx="21">
                  <c:v>8.3882502676975779E-2</c:v>
                </c:pt>
                <c:pt idx="22">
                  <c:v>0.1014718830629068</c:v>
                </c:pt>
                <c:pt idx="23">
                  <c:v>0.12172815849522044</c:v>
                </c:pt>
                <c:pt idx="24">
                  <c:v>0.14469368995987258</c:v>
                </c:pt>
                <c:pt idx="25">
                  <c:v>0.17029261332991397</c:v>
                </c:pt>
                <c:pt idx="26">
                  <c:v>0.1983204026690143</c:v>
                </c:pt>
                <c:pt idx="27">
                  <c:v>0.22845006919679811</c:v>
                </c:pt>
                <c:pt idx="28">
                  <c:v>0.26025576310952242</c:v>
                </c:pt>
                <c:pt idx="29">
                  <c:v>0.2932497450627613</c:v>
                </c:pt>
                <c:pt idx="30">
                  <c:v>0.32692503891761698</c:v>
                </c:pt>
                <c:pt idx="31">
                  <c:v>0.36079522210538006</c:v>
                </c:pt>
                <c:pt idx="32">
                  <c:v>0.39442487937667103</c:v>
                </c:pt>
                <c:pt idx="33">
                  <c:v>0.42744788329255179</c:v>
                </c:pt>
                <c:pt idx="34">
                  <c:v>0.4595740974554719</c:v>
                </c:pt>
                <c:pt idx="35">
                  <c:v>0.49058720431510583</c:v>
                </c:pt>
                <c:pt idx="36">
                  <c:v>0.52033698330901479</c:v>
                </c:pt>
                <c:pt idx="37">
                  <c:v>0.54872897037989199</c:v>
                </c:pt>
                <c:pt idx="38">
                  <c:v>0.57571360339845079</c:v>
                </c:pt>
                <c:pt idx="39">
                  <c:v>0.60127611897935185</c:v>
                </c:pt>
                <c:pt idx="40">
                  <c:v>0.62542781131664604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E4-477B-926E-25ED1BDB3C3C}"/>
            </c:ext>
          </c:extLst>
        </c:ser>
        <c:ser>
          <c:idx val="1"/>
          <c:order val="1"/>
          <c:tx>
            <c:strRef>
              <c:f>'data for plots'!$C$2</c:f>
              <c:strCache>
                <c:ptCount val="1"/>
                <c:pt idx="0">
                  <c:v>50% sales by 2030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'data for plots'!$A$3:$A$43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plots'!$C$3:$C$43</c:f>
              <c:numCache>
                <c:formatCode>0.0%</c:formatCode>
                <c:ptCount val="41"/>
                <c:pt idx="0">
                  <c:v>1.6508690087574258E-5</c:v>
                </c:pt>
                <c:pt idx="1">
                  <c:v>9.4708506588913845E-5</c:v>
                </c:pt>
                <c:pt idx="2">
                  <c:v>3.2452500356977505E-4</c:v>
                </c:pt>
                <c:pt idx="3">
                  <c:v>7.3720425572586961E-4</c:v>
                </c:pt>
                <c:pt idx="4">
                  <c:v>1.2201438170895023E-3</c:v>
                </c:pt>
                <c:pt idx="5">
                  <c:v>1.6667055564629841E-3</c:v>
                </c:pt>
                <c:pt idx="6">
                  <c:v>2.3310519014840209E-3</c:v>
                </c:pt>
                <c:pt idx="7">
                  <c:v>3.0951191193245801E-3</c:v>
                </c:pt>
                <c:pt idx="8">
                  <c:v>4.5038958740261223E-3</c:v>
                </c:pt>
                <c:pt idx="9">
                  <c:v>5.7754056558723043E-3</c:v>
                </c:pt>
                <c:pt idx="10">
                  <c:v>6.8960067532803648E-3</c:v>
                </c:pt>
                <c:pt idx="11">
                  <c:v>8.7545805411347929E-3</c:v>
                </c:pt>
                <c:pt idx="12">
                  <c:v>1.3070901685604753E-2</c:v>
                </c:pt>
                <c:pt idx="13">
                  <c:v>1.8656377786147531E-2</c:v>
                </c:pt>
                <c:pt idx="14">
                  <c:v>2.5866549361399021E-2</c:v>
                </c:pt>
                <c:pt idx="15">
                  <c:v>3.5120034198014155E-2</c:v>
                </c:pt>
                <c:pt idx="16">
                  <c:v>4.6886003519801885E-2</c:v>
                </c:pt>
                <c:pt idx="17">
                  <c:v>6.1653645118630938E-2</c:v>
                </c:pt>
                <c:pt idx="18">
                  <c:v>7.9878400422074239E-2</c:v>
                </c:pt>
                <c:pt idx="19">
                  <c:v>0.10190506862244837</c:v>
                </c:pt>
                <c:pt idx="20">
                  <c:v>0.12787862243274975</c:v>
                </c:pt>
                <c:pt idx="21">
                  <c:v>0.15766728909261232</c:v>
                </c:pt>
                <c:pt idx="22">
                  <c:v>0.19083061258890355</c:v>
                </c:pt>
                <c:pt idx="23">
                  <c:v>0.22665668438340378</c:v>
                </c:pt>
                <c:pt idx="24">
                  <c:v>0.26426511691230625</c:v>
                </c:pt>
                <c:pt idx="25">
                  <c:v>0.30274106437055709</c:v>
                </c:pt>
                <c:pt idx="26">
                  <c:v>0.34125392640000002</c:v>
                </c:pt>
                <c:pt idx="27">
                  <c:v>0.37912974705803459</c:v>
                </c:pt>
                <c:pt idx="28">
                  <c:v>0.41587323241689261</c:v>
                </c:pt>
                <c:pt idx="29">
                  <c:v>0.45115399152542379</c:v>
                </c:pt>
                <c:pt idx="30">
                  <c:v>0.48477574433787984</c:v>
                </c:pt>
                <c:pt idx="31">
                  <c:v>0.51664237970403393</c:v>
                </c:pt>
                <c:pt idx="32">
                  <c:v>0.54672809084786467</c:v>
                </c:pt>
                <c:pt idx="33">
                  <c:v>0.57505396902612294</c:v>
                </c:pt>
                <c:pt idx="34">
                  <c:v>0.6016708847175366</c:v>
                </c:pt>
                <c:pt idx="35">
                  <c:v>0.62664751793429863</c:v>
                </c:pt>
                <c:pt idx="36">
                  <c:v>0.65006225004109996</c:v>
                </c:pt>
                <c:pt idx="37">
                  <c:v>0.67199780707190371</c:v>
                </c:pt>
                <c:pt idx="38">
                  <c:v>0.69253780198352455</c:v>
                </c:pt>
                <c:pt idx="39">
                  <c:v>0.71176455999672772</c:v>
                </c:pt>
                <c:pt idx="40">
                  <c:v>0.72975779788656769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E4-477B-926E-25ED1BDB3C3C}"/>
            </c:ext>
          </c:extLst>
        </c:ser>
        <c:ser>
          <c:idx val="2"/>
          <c:order val="2"/>
          <c:tx>
            <c:strRef>
              <c:f>'data for plots'!$D$2</c:f>
              <c:strCache>
                <c:ptCount val="1"/>
                <c:pt idx="0">
                  <c:v>75% sales by 2030</c:v>
                </c:pt>
              </c:strCache>
            </c:strRef>
          </c:tx>
          <c:spPr>
            <a:ln w="571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'data for plots'!$A$3:$A$43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xVal>
          <c:yVal>
            <c:numRef>
              <c:f>'data for plots'!$D$3:$D$43</c:f>
              <c:numCache>
                <c:formatCode>0.0%</c:formatCode>
                <c:ptCount val="41"/>
                <c:pt idx="0">
                  <c:v>1.6508690087574258E-5</c:v>
                </c:pt>
                <c:pt idx="1">
                  <c:v>9.4708506588913845E-5</c:v>
                </c:pt>
                <c:pt idx="2">
                  <c:v>3.2452500356977505E-4</c:v>
                </c:pt>
                <c:pt idx="3">
                  <c:v>7.3720425572586961E-4</c:v>
                </c:pt>
                <c:pt idx="4">
                  <c:v>1.2201438170895023E-3</c:v>
                </c:pt>
                <c:pt idx="5">
                  <c:v>1.6667055564629841E-3</c:v>
                </c:pt>
                <c:pt idx="6">
                  <c:v>2.3310519014840209E-3</c:v>
                </c:pt>
                <c:pt idx="7">
                  <c:v>3.0951191193245801E-3</c:v>
                </c:pt>
                <c:pt idx="8">
                  <c:v>4.5038958740261223E-3</c:v>
                </c:pt>
                <c:pt idx="9">
                  <c:v>5.7754056558723043E-3</c:v>
                </c:pt>
                <c:pt idx="10">
                  <c:v>6.8960067532803648E-3</c:v>
                </c:pt>
                <c:pt idx="11">
                  <c:v>8.7545805411347929E-3</c:v>
                </c:pt>
                <c:pt idx="12">
                  <c:v>1.5325005742171598E-2</c:v>
                </c:pt>
                <c:pt idx="13">
                  <c:v>2.4153076371697974E-2</c:v>
                </c:pt>
                <c:pt idx="14">
                  <c:v>3.5927683900739041E-2</c:v>
                </c:pt>
                <c:pt idx="15">
                  <c:v>5.1409402663309796E-2</c:v>
                </c:pt>
                <c:pt idx="16">
                  <c:v>7.1331807897909286E-2</c:v>
                </c:pt>
                <c:pt idx="17">
                  <c:v>9.6237884573654467E-2</c:v>
                </c:pt>
                <c:pt idx="18">
                  <c:v>0.1262783256081321</c:v>
                </c:pt>
                <c:pt idx="19">
                  <c:v>0.16105155559684745</c:v>
                </c:pt>
                <c:pt idx="20">
                  <c:v>0.19959271202904197</c:v>
                </c:pt>
                <c:pt idx="21">
                  <c:v>0.24056144160817905</c:v>
                </c:pt>
                <c:pt idx="22">
                  <c:v>0.28254959225543791</c:v>
                </c:pt>
                <c:pt idx="23">
                  <c:v>0.32435069999015381</c:v>
                </c:pt>
                <c:pt idx="24">
                  <c:v>0.36508766060721715</c:v>
                </c:pt>
                <c:pt idx="25">
                  <c:v>0.40420779572729443</c:v>
                </c:pt>
                <c:pt idx="26">
                  <c:v>0.44141197452330599</c:v>
                </c:pt>
                <c:pt idx="27">
                  <c:v>0.4765739204032135</c:v>
                </c:pt>
                <c:pt idx="28">
                  <c:v>0.50967509539633948</c:v>
                </c:pt>
                <c:pt idx="29">
                  <c:v>0.54075967536020786</c:v>
                </c:pt>
                <c:pt idx="30">
                  <c:v>0.56990591341142305</c:v>
                </c:pt>
                <c:pt idx="31">
                  <c:v>0.59720881150118532</c:v>
                </c:pt>
                <c:pt idx="32">
                  <c:v>0.62276998220085189</c:v>
                </c:pt>
                <c:pt idx="33">
                  <c:v>0.64669188391922638</c:v>
                </c:pt>
                <c:pt idx="34">
                  <c:v>0.66907464832949082</c:v>
                </c:pt>
                <c:pt idx="35">
                  <c:v>0.69001441883457371</c:v>
                </c:pt>
                <c:pt idx="36">
                  <c:v>0.70960255853703358</c:v>
                </c:pt>
                <c:pt idx="37">
                  <c:v>0.72792535204080289</c:v>
                </c:pt>
                <c:pt idx="38">
                  <c:v>0.74506398291632681</c:v>
                </c:pt>
                <c:pt idx="39">
                  <c:v>0.76109466089658095</c:v>
                </c:pt>
                <c:pt idx="40">
                  <c:v>0.77608882652208433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E4-477B-926E-25ED1BDB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23936"/>
        <c:axId val="536216032"/>
      </c:scatterChart>
      <c:valAx>
        <c:axId val="536223936"/>
        <c:scaling>
          <c:orientation val="minMax"/>
          <c:max val="205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16032"/>
        <c:crosses val="autoZero"/>
        <c:crossBetween val="midCat"/>
      </c:valAx>
      <c:valAx>
        <c:axId val="5362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EVs in LDV fleet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2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2</xdr:row>
      <xdr:rowOff>0</xdr:rowOff>
    </xdr:from>
    <xdr:to>
      <xdr:col>21</xdr:col>
      <xdr:colOff>304800</xdr:colOff>
      <xdr:row>3</xdr:row>
      <xdr:rowOff>148590</xdr:rowOff>
    </xdr:to>
    <xdr:sp macro="" textlink="">
      <xdr:nvSpPr>
        <xdr:cNvPr id="1025" name="AutoShape 1" descr="{\displaystyle {\frac {dP}{dt}}=rP\left(1-{\frac {P}{K}}\right),}">
          <a:extLst>
            <a:ext uri="{FF2B5EF4-FFF2-40B4-BE49-F238E27FC236}">
              <a16:creationId xmlns:a16="http://schemas.microsoft.com/office/drawing/2014/main" id="{35505D41-63F5-4F04-9C5B-1913B7FEE59B}"/>
            </a:ext>
          </a:extLst>
        </xdr:cNvPr>
        <xdr:cNvSpPr>
          <a:spLocks noChangeAspect="1" noChangeArrowheads="1"/>
        </xdr:cNvSpPr>
      </xdr:nvSpPr>
      <xdr:spPr bwMode="auto">
        <a:xfrm>
          <a:off x="740664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304800</xdr:colOff>
      <xdr:row>3</xdr:row>
      <xdr:rowOff>304800</xdr:rowOff>
    </xdr:to>
    <xdr:sp macro="" textlink="">
      <xdr:nvSpPr>
        <xdr:cNvPr id="1026" name="AutoShape 2" descr="{\displaystyle {\frac {dP}{dt}}=rP\left(1-{\frac {P}{K}}\right),}">
          <a:extLst>
            <a:ext uri="{FF2B5EF4-FFF2-40B4-BE49-F238E27FC236}">
              <a16:creationId xmlns:a16="http://schemas.microsoft.com/office/drawing/2014/main" id="{1538BD66-EE5F-43E0-B61D-850D0D2E070F}"/>
            </a:ext>
          </a:extLst>
        </xdr:cNvPr>
        <xdr:cNvSpPr>
          <a:spLocks noChangeAspect="1" noChangeArrowheads="1"/>
        </xdr:cNvSpPr>
      </xdr:nvSpPr>
      <xdr:spPr bwMode="auto">
        <a:xfrm>
          <a:off x="7406640" y="365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19</xdr:col>
      <xdr:colOff>228600</xdr:colOff>
      <xdr:row>2</xdr:row>
      <xdr:rowOff>175260</xdr:rowOff>
    </xdr:from>
    <xdr:ext cx="2095500" cy="3374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1705ACE-DC41-46B0-9E76-A0171938D484}"/>
                </a:ext>
              </a:extLst>
            </xdr:cNvPr>
            <xdr:cNvSpPr txBox="1"/>
          </xdr:nvSpPr>
          <xdr:spPr>
            <a:xfrm>
              <a:off x="6416040" y="358140"/>
              <a:ext cx="2095500" cy="3374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𝑟𝑁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f>
                          <m:fPr>
                            <m:type m:val="skw"/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𝑚𝑎𝑥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1705ACE-DC41-46B0-9E76-A0171938D484}"/>
                </a:ext>
              </a:extLst>
            </xdr:cNvPr>
            <xdr:cNvSpPr txBox="1"/>
          </xdr:nvSpPr>
          <xdr:spPr>
            <a:xfrm>
              <a:off x="6416040" y="358140"/>
              <a:ext cx="2095500" cy="3374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𝑁=𝑟𝑁(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1−𝑁⁄𝑁_𝑚𝑎𝑥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4</xdr:col>
      <xdr:colOff>662940</xdr:colOff>
      <xdr:row>50</xdr:row>
      <xdr:rowOff>80010</xdr:rowOff>
    </xdr:from>
    <xdr:to>
      <xdr:col>15</xdr:col>
      <xdr:colOff>701040</xdr:colOff>
      <xdr:row>75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CFC598-1B56-40D5-883A-6C4D0E4ED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266700</xdr:colOff>
      <xdr:row>65</xdr:row>
      <xdr:rowOff>28575</xdr:rowOff>
    </xdr:from>
    <xdr:to>
      <xdr:col>31</xdr:col>
      <xdr:colOff>752475</xdr:colOff>
      <xdr:row>90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DD5B76-BDF2-4518-9533-EFB748768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23</xdr:col>
      <xdr:colOff>476885</xdr:colOff>
      <xdr:row>21</xdr:row>
      <xdr:rowOff>174943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3339D-FDF5-450B-A5C6-90936A666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21</xdr:col>
      <xdr:colOff>158116</xdr:colOff>
      <xdr:row>42</xdr:row>
      <xdr:rowOff>172085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D2131-DA0E-43A9-BBBD-FF02E98F7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18</xdr:col>
      <xdr:colOff>388620</xdr:colOff>
      <xdr:row>22</xdr:row>
      <xdr:rowOff>118745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A024F-4263-46AA-8F89-A8DA44385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19</xdr:col>
      <xdr:colOff>156216</xdr:colOff>
      <xdr:row>24</xdr:row>
      <xdr:rowOff>127317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12985-C99C-47B1-A91E-19393F9A5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21</xdr:col>
      <xdr:colOff>262249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62676-35CC-42DB-9D75-1AC0694C4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24</xdr:col>
      <xdr:colOff>13334</xdr:colOff>
      <xdr:row>28</xdr:row>
      <xdr:rowOff>163829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B235C-4C0D-4896-A084-04350134A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138430</xdr:colOff>
      <xdr:row>4</xdr:row>
      <xdr:rowOff>21590</xdr:rowOff>
    </xdr:from>
    <xdr:to>
      <xdr:col>9</xdr:col>
      <xdr:colOff>838835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C5FD8-CFC2-4C0C-BED3-45F1D5C0E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918210</xdr:colOff>
      <xdr:row>7</xdr:row>
      <xdr:rowOff>85725</xdr:rowOff>
    </xdr:from>
    <xdr:to>
      <xdr:col>19</xdr:col>
      <xdr:colOff>996315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29606-450A-42FC-A634-BE3DC0D33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222247</xdr:colOff>
      <xdr:row>15</xdr:row>
      <xdr:rowOff>9525</xdr:rowOff>
    </xdr:from>
    <xdr:to>
      <xdr:col>26</xdr:col>
      <xdr:colOff>409574</xdr:colOff>
      <xdr:row>35</xdr:row>
      <xdr:rowOff>95885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CDEFE3-753B-46E2-A592-50ABF6ED1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605790</xdr:colOff>
      <xdr:row>43</xdr:row>
      <xdr:rowOff>59055</xdr:rowOff>
    </xdr:from>
    <xdr:to>
      <xdr:col>31</xdr:col>
      <xdr:colOff>318135</xdr:colOff>
      <xdr:row>61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45B4A7-160F-4C95-ACBD-D473F0650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281940</xdr:colOff>
      <xdr:row>18</xdr:row>
      <xdr:rowOff>30480</xdr:rowOff>
    </xdr:from>
    <xdr:to>
      <xdr:col>43</xdr:col>
      <xdr:colOff>361950</xdr:colOff>
      <xdr:row>36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0E8A8B-A117-4209-9013-5ECC11701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693420</xdr:colOff>
      <xdr:row>43</xdr:row>
      <xdr:rowOff>22860</xdr:rowOff>
    </xdr:from>
    <xdr:to>
      <xdr:col>16</xdr:col>
      <xdr:colOff>521970</xdr:colOff>
      <xdr:row>61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6E3BBB-5E0B-4674-99CF-46AEDE1B0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9525</xdr:colOff>
      <xdr:row>20</xdr:row>
      <xdr:rowOff>152400</xdr:rowOff>
    </xdr:from>
    <xdr:to>
      <xdr:col>14</xdr:col>
      <xdr:colOff>428625</xdr:colOff>
      <xdr:row>41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D6D7A4-49DF-4F05-AFED-953AC20B6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ert Brecha" id="{BC841D8C-B116-49FB-AA02-2B06A589EB2F}" userId="3a2d9f5793fff247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" dT="2024-06-24T11:53:36.80" personId="{BC841D8C-B116-49FB-AA02-2B06A589EB2F}" id="{A2748018-E241-4DFA-B08D-B99835615A15}">
    <text>Used to set the fraction of EV sales in 2030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" dT="2024-06-24T13:19:22.36" personId="{BC841D8C-B116-49FB-AA02-2B06A589EB2F}" id="{76D94FA8-6067-4F93-870D-78D941937739}">
    <text xml:space="preserve">Dependent on fraction of former corn-ethanol land used for solar PV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4" dT="2024-06-24T13:18:45.64" personId="{BC841D8C-B116-49FB-AA02-2B06A589EB2F}" id="{73D94EF5-A1E9-484E-8E11-52BA3CBE52BE}">
    <text>Dependent on fraction of land leased for solar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www.ers.usda.gov/data-products/fertilizer-use-and-price/documentation-and-data-sources/" TargetMode="External"/><Relationship Id="rId1" Type="http://schemas.openxmlformats.org/officeDocument/2006/relationships/hyperlink" Target="https://www.ers.usda.gov/data-products/fertilizer-use-and-price/documentation-and-data-sources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7348-F279-4AF7-8713-281DB9B155A7}">
  <dimension ref="A2:BI50"/>
  <sheetViews>
    <sheetView topLeftCell="A21" workbookViewId="0">
      <pane xSplit="1" topLeftCell="AU1" activePane="topRight" state="frozen"/>
      <selection pane="topRight" activeCell="BH10" sqref="BH10:BH50"/>
    </sheetView>
  </sheetViews>
  <sheetFormatPr defaultRowHeight="14.75" x14ac:dyDescent="0.75"/>
  <cols>
    <col min="2" max="2" width="12.36328125" customWidth="1"/>
    <col min="3" max="3" width="9.31640625" customWidth="1"/>
    <col min="4" max="4" width="9.6796875" customWidth="1"/>
    <col min="5" max="5" width="7.6328125" customWidth="1"/>
    <col min="6" max="6" width="12.08984375" customWidth="1"/>
    <col min="7" max="7" width="12" customWidth="1"/>
    <col min="8" max="9" width="11.6796875" customWidth="1"/>
    <col min="10" max="10" width="16.2265625" customWidth="1"/>
    <col min="11" max="11" width="8.453125" customWidth="1"/>
    <col min="12" max="12" width="13.58984375" customWidth="1"/>
    <col min="13" max="13" width="11.6796875" customWidth="1"/>
    <col min="14" max="14" width="13" customWidth="1"/>
    <col min="15" max="15" width="8.54296875" customWidth="1"/>
    <col min="16" max="16" width="11.54296875" customWidth="1"/>
    <col min="18" max="18" width="10.31640625" customWidth="1"/>
    <col min="19" max="19" width="8.453125" customWidth="1"/>
    <col min="20" max="20" width="10.31640625" customWidth="1"/>
    <col min="21" max="21" width="9.54296875" customWidth="1"/>
    <col min="23" max="23" width="15.90625" customWidth="1"/>
    <col min="24" max="25" width="12.86328125" customWidth="1"/>
    <col min="26" max="26" width="18.54296875" customWidth="1"/>
    <col min="27" max="27" width="20.08984375" customWidth="1"/>
    <col min="28" max="28" width="5.08984375" style="22" customWidth="1"/>
    <col min="29" max="29" width="13.453125" customWidth="1"/>
    <col min="30" max="30" width="14" customWidth="1"/>
    <col min="31" max="31" width="4.6796875" style="22" customWidth="1"/>
    <col min="32" max="33" width="13.6796875" customWidth="1"/>
    <col min="34" max="34" width="10" bestFit="1" customWidth="1"/>
    <col min="35" max="35" width="18" customWidth="1"/>
    <col min="36" max="36" width="5.54296875" style="22" customWidth="1"/>
    <col min="37" max="37" width="16.31640625" customWidth="1"/>
    <col min="38" max="38" width="12.31640625" customWidth="1"/>
    <col min="39" max="39" width="4.54296875" style="22" customWidth="1"/>
    <col min="40" max="40" width="10.31640625" customWidth="1"/>
    <col min="41" max="41" width="10.54296875" customWidth="1"/>
    <col min="42" max="42" width="10.08984375" customWidth="1"/>
    <col min="43" max="43" width="11.76953125" customWidth="1"/>
    <col min="44" max="44" width="6.08984375" style="22" customWidth="1"/>
    <col min="45" max="45" width="18.86328125" customWidth="1"/>
    <col min="46" max="46" width="10.86328125" customWidth="1"/>
    <col min="47" max="47" width="12.7265625" customWidth="1"/>
    <col min="49" max="49" width="9.08984375" style="22"/>
    <col min="50" max="50" width="14.453125" customWidth="1"/>
    <col min="51" max="51" width="13.31640625" customWidth="1"/>
    <col min="52" max="52" width="9.6796875" customWidth="1"/>
    <col min="53" max="53" width="15.26953125" customWidth="1"/>
    <col min="55" max="55" width="5.453125" style="22" customWidth="1"/>
    <col min="56" max="56" width="11.58984375" customWidth="1"/>
    <col min="57" max="57" width="11.5" customWidth="1"/>
    <col min="58" max="59" width="12.1328125" customWidth="1"/>
    <col min="60" max="60" width="12.31640625" customWidth="1"/>
    <col min="61" max="61" width="5.6796875" style="22" customWidth="1"/>
  </cols>
  <sheetData>
    <row r="2" spans="1:60" ht="47.25" customHeight="1" x14ac:dyDescent="0.75">
      <c r="B2" s="6" t="s">
        <v>17</v>
      </c>
      <c r="C2">
        <v>230</v>
      </c>
      <c r="D2" s="6"/>
      <c r="E2" s="6"/>
      <c r="F2" s="6"/>
      <c r="G2" s="6" t="s">
        <v>1</v>
      </c>
      <c r="H2">
        <v>200000</v>
      </c>
      <c r="L2" s="6" t="s">
        <v>4</v>
      </c>
      <c r="M2">
        <v>18500</v>
      </c>
      <c r="T2" t="s">
        <v>3</v>
      </c>
      <c r="AC2" s="6" t="s">
        <v>42</v>
      </c>
      <c r="AD2" s="6" t="s">
        <v>43</v>
      </c>
      <c r="AF2" s="6" t="s">
        <v>46</v>
      </c>
      <c r="AG2" s="6"/>
      <c r="AK2" s="6" t="s">
        <v>57</v>
      </c>
      <c r="AN2" t="s">
        <v>124</v>
      </c>
      <c r="AO2" t="s">
        <v>79</v>
      </c>
      <c r="AP2" t="s">
        <v>80</v>
      </c>
      <c r="AQ2" s="25" t="s">
        <v>81</v>
      </c>
      <c r="AS2" s="6" t="s">
        <v>58</v>
      </c>
      <c r="AT2" s="6"/>
      <c r="AU2" s="6" t="s">
        <v>119</v>
      </c>
      <c r="AX2" s="6" t="s">
        <v>94</v>
      </c>
      <c r="AY2" s="6" t="s">
        <v>96</v>
      </c>
      <c r="BA2" s="6" t="s">
        <v>86</v>
      </c>
      <c r="BD2" s="6" t="s">
        <v>116</v>
      </c>
      <c r="BE2" s="6" t="s">
        <v>117</v>
      </c>
      <c r="BF2" s="6" t="s">
        <v>66</v>
      </c>
      <c r="BG2" s="6" t="s">
        <v>67</v>
      </c>
      <c r="BH2" s="6" t="s">
        <v>69</v>
      </c>
    </row>
    <row r="3" spans="1:60" x14ac:dyDescent="0.75">
      <c r="AC3">
        <v>10</v>
      </c>
      <c r="AD3">
        <v>155</v>
      </c>
      <c r="AF3">
        <v>5</v>
      </c>
      <c r="AK3">
        <v>2500</v>
      </c>
      <c r="AL3" t="s">
        <v>50</v>
      </c>
      <c r="AN3">
        <v>150</v>
      </c>
      <c r="AO3">
        <v>70</v>
      </c>
      <c r="AP3">
        <v>50</v>
      </c>
      <c r="AS3" s="43">
        <v>0.04</v>
      </c>
      <c r="AT3" s="15" t="s">
        <v>59</v>
      </c>
      <c r="AU3" s="44">
        <v>30</v>
      </c>
      <c r="AV3" t="s">
        <v>61</v>
      </c>
      <c r="AX3" s="44">
        <v>272</v>
      </c>
      <c r="AY3" s="44">
        <v>104</v>
      </c>
      <c r="AZ3" s="44">
        <v>500</v>
      </c>
      <c r="BA3" s="45">
        <v>1000</v>
      </c>
      <c r="BB3" s="44">
        <v>1500</v>
      </c>
      <c r="BD3">
        <v>300</v>
      </c>
      <c r="BE3">
        <v>360</v>
      </c>
      <c r="BF3">
        <v>3</v>
      </c>
      <c r="BG3">
        <v>0.1</v>
      </c>
    </row>
    <row r="4" spans="1:60" ht="46.25" customHeight="1" x14ac:dyDescent="0.75">
      <c r="B4" s="6" t="s">
        <v>18</v>
      </c>
      <c r="C4" s="1">
        <v>5.0000000000000001E-3</v>
      </c>
      <c r="D4" s="6"/>
      <c r="E4" s="6"/>
      <c r="F4" s="6"/>
      <c r="G4" s="6" t="s">
        <v>2</v>
      </c>
      <c r="H4" s="40">
        <v>0.43</v>
      </c>
      <c r="L4" t="s">
        <v>5</v>
      </c>
      <c r="M4">
        <v>13.5</v>
      </c>
      <c r="N4" t="s">
        <v>8</v>
      </c>
      <c r="AC4" s="6" t="s">
        <v>40</v>
      </c>
      <c r="AD4" s="6" t="s">
        <v>41</v>
      </c>
      <c r="AF4" s="6" t="s">
        <v>47</v>
      </c>
      <c r="AG4" s="6"/>
      <c r="AK4">
        <f>AK3*3.78</f>
        <v>9450</v>
      </c>
      <c r="AL4" t="s">
        <v>51</v>
      </c>
      <c r="AN4" s="4">
        <f>AN3/2.2</f>
        <v>68.181818181818173</v>
      </c>
      <c r="AO4" s="4">
        <f>AO3/2.2</f>
        <v>31.818181818181817</v>
      </c>
      <c r="AP4" s="4">
        <f>AP3/2.2</f>
        <v>22.727272727272727</v>
      </c>
      <c r="AQ4" t="s">
        <v>78</v>
      </c>
      <c r="AT4" s="15"/>
      <c r="AU4" s="6" t="s">
        <v>62</v>
      </c>
      <c r="AX4" t="s">
        <v>95</v>
      </c>
      <c r="AZ4" s="26" t="s">
        <v>87</v>
      </c>
      <c r="BA4" s="6" t="s">
        <v>88</v>
      </c>
      <c r="BB4" s="27" t="s">
        <v>89</v>
      </c>
      <c r="BD4" s="6" t="s">
        <v>118</v>
      </c>
      <c r="BE4" s="6" t="s">
        <v>118</v>
      </c>
      <c r="BF4" t="s">
        <v>68</v>
      </c>
      <c r="BG4" t="s">
        <v>68</v>
      </c>
    </row>
    <row r="5" spans="1:60" ht="14.5" customHeight="1" x14ac:dyDescent="0.75">
      <c r="C5" s="1"/>
      <c r="D5" s="1"/>
      <c r="E5" s="1"/>
      <c r="F5" s="1"/>
      <c r="L5" t="s">
        <v>25</v>
      </c>
      <c r="M5" s="1">
        <v>0.01</v>
      </c>
      <c r="N5" t="s">
        <v>26</v>
      </c>
      <c r="T5" t="s">
        <v>32</v>
      </c>
      <c r="V5">
        <v>25</v>
      </c>
      <c r="W5" t="s">
        <v>14</v>
      </c>
      <c r="AC5" s="1">
        <v>5.0000000000000002E-5</v>
      </c>
      <c r="AD5" s="13">
        <v>0.01</v>
      </c>
      <c r="AF5">
        <v>1</v>
      </c>
      <c r="AK5">
        <f>AK4/1000</f>
        <v>9.4499999999999993</v>
      </c>
      <c r="AL5" t="s">
        <v>52</v>
      </c>
      <c r="AN5" s="5">
        <v>0.98</v>
      </c>
      <c r="AO5" s="5">
        <v>0.8</v>
      </c>
      <c r="AP5" s="5">
        <v>0.63</v>
      </c>
      <c r="AQ5" s="6" t="s">
        <v>85</v>
      </c>
      <c r="AS5" s="17">
        <f>AS3/3.78</f>
        <v>1.0582010582010583E-2</v>
      </c>
      <c r="AT5" t="s">
        <v>60</v>
      </c>
      <c r="AU5" s="5">
        <v>0</v>
      </c>
      <c r="AV5" t="s">
        <v>26</v>
      </c>
    </row>
    <row r="6" spans="1:60" ht="41.25" customHeight="1" x14ac:dyDescent="0.75">
      <c r="B6" s="1" t="s">
        <v>33</v>
      </c>
      <c r="C6">
        <v>0.05</v>
      </c>
      <c r="D6" s="5"/>
      <c r="E6" s="5"/>
      <c r="F6" s="5"/>
      <c r="L6" t="s">
        <v>6</v>
      </c>
      <c r="M6">
        <v>5</v>
      </c>
      <c r="N6" t="s">
        <v>7</v>
      </c>
      <c r="T6" t="s">
        <v>29</v>
      </c>
      <c r="V6">
        <v>35</v>
      </c>
      <c r="W6" t="s">
        <v>14</v>
      </c>
      <c r="AF6" s="6" t="s">
        <v>113</v>
      </c>
      <c r="AK6" t="s">
        <v>53</v>
      </c>
      <c r="AN6" s="6" t="s">
        <v>120</v>
      </c>
      <c r="AO6" s="6" t="s">
        <v>121</v>
      </c>
      <c r="AP6" s="6" t="s">
        <v>122</v>
      </c>
      <c r="AQ6" s="6" t="s">
        <v>123</v>
      </c>
      <c r="AU6" s="6"/>
      <c r="AZ6" s="47" t="s">
        <v>91</v>
      </c>
      <c r="BA6" s="6" t="s">
        <v>90</v>
      </c>
      <c r="BB6" s="46" t="s">
        <v>92</v>
      </c>
    </row>
    <row r="7" spans="1:60" ht="29.5" x14ac:dyDescent="0.75">
      <c r="B7" t="s">
        <v>34</v>
      </c>
      <c r="C7">
        <v>16</v>
      </c>
      <c r="D7" t="s">
        <v>35</v>
      </c>
      <c r="M7" s="2">
        <f>1/M6</f>
        <v>0.2</v>
      </c>
      <c r="N7" t="s">
        <v>126</v>
      </c>
      <c r="T7" t="s">
        <v>30</v>
      </c>
      <c r="V7">
        <v>0.1</v>
      </c>
      <c r="AC7">
        <v>190</v>
      </c>
      <c r="AD7" s="6" t="s">
        <v>56</v>
      </c>
      <c r="AF7" s="5">
        <v>7.0000000000000007E-2</v>
      </c>
      <c r="AG7" s="5"/>
      <c r="AK7">
        <v>10</v>
      </c>
      <c r="AL7" t="s">
        <v>54</v>
      </c>
      <c r="AN7">
        <v>13000</v>
      </c>
      <c r="AO7">
        <v>4400</v>
      </c>
      <c r="AP7">
        <v>4700</v>
      </c>
      <c r="AU7" s="19"/>
      <c r="AZ7" s="19"/>
      <c r="BA7" s="19" t="s">
        <v>93</v>
      </c>
    </row>
    <row r="8" spans="1:60" x14ac:dyDescent="0.75">
      <c r="L8" t="s">
        <v>25</v>
      </c>
      <c r="M8" s="1">
        <v>0.01</v>
      </c>
      <c r="N8" t="s">
        <v>26</v>
      </c>
      <c r="T8" t="s">
        <v>31</v>
      </c>
      <c r="V8">
        <f>V7*V5+(1-V7)*V6</f>
        <v>34</v>
      </c>
      <c r="AK8">
        <v>0.67</v>
      </c>
      <c r="AL8" t="s">
        <v>97</v>
      </c>
      <c r="AN8" s="25" t="s">
        <v>81</v>
      </c>
    </row>
    <row r="9" spans="1:60" ht="49.25" customHeight="1" x14ac:dyDescent="0.75">
      <c r="A9" t="s">
        <v>0</v>
      </c>
      <c r="B9" s="6" t="s">
        <v>9</v>
      </c>
      <c r="C9" s="6" t="s">
        <v>36</v>
      </c>
      <c r="D9" s="6" t="s">
        <v>37</v>
      </c>
      <c r="E9" s="6" t="s">
        <v>38</v>
      </c>
      <c r="F9" s="6" t="s">
        <v>39</v>
      </c>
      <c r="G9" s="6" t="s">
        <v>10</v>
      </c>
      <c r="H9" s="6" t="s">
        <v>11</v>
      </c>
      <c r="I9" s="6" t="s">
        <v>70</v>
      </c>
      <c r="J9" s="6" t="s">
        <v>23</v>
      </c>
      <c r="K9" s="6" t="s">
        <v>115</v>
      </c>
      <c r="L9" s="6" t="s">
        <v>21</v>
      </c>
      <c r="M9" s="6" t="s">
        <v>98</v>
      </c>
      <c r="N9" s="6" t="s">
        <v>19</v>
      </c>
      <c r="O9" s="6" t="s">
        <v>125</v>
      </c>
      <c r="P9" s="6" t="s">
        <v>12</v>
      </c>
      <c r="Q9" s="6" t="s">
        <v>100</v>
      </c>
      <c r="R9" s="6" t="s">
        <v>15</v>
      </c>
      <c r="S9" s="6" t="s">
        <v>28</v>
      </c>
      <c r="T9" s="6" t="s">
        <v>13</v>
      </c>
      <c r="U9" s="6" t="s">
        <v>16</v>
      </c>
      <c r="V9" s="6" t="s">
        <v>20</v>
      </c>
      <c r="W9" s="6" t="s">
        <v>22</v>
      </c>
      <c r="X9" s="6"/>
      <c r="Y9" s="6" t="s">
        <v>99</v>
      </c>
      <c r="Z9" s="6" t="s">
        <v>27</v>
      </c>
      <c r="AA9" s="6" t="s">
        <v>24</v>
      </c>
      <c r="AC9" s="6" t="s">
        <v>44</v>
      </c>
      <c r="AD9" s="6" t="s">
        <v>45</v>
      </c>
      <c r="AF9" s="6" t="s">
        <v>64</v>
      </c>
      <c r="AG9" s="6" t="s">
        <v>65</v>
      </c>
      <c r="AH9" s="6" t="s">
        <v>48</v>
      </c>
      <c r="AI9" s="6" t="s">
        <v>49</v>
      </c>
      <c r="AJ9" s="23"/>
      <c r="AK9" s="6" t="s">
        <v>55</v>
      </c>
      <c r="AN9" s="6" t="s">
        <v>83</v>
      </c>
      <c r="AO9" s="6" t="s">
        <v>82</v>
      </c>
      <c r="AP9" s="6" t="s">
        <v>84</v>
      </c>
      <c r="AS9" s="6" t="s">
        <v>63</v>
      </c>
      <c r="AT9" s="6"/>
      <c r="AU9" s="6" t="s">
        <v>132</v>
      </c>
      <c r="AX9" s="6" t="s">
        <v>135</v>
      </c>
      <c r="AY9" s="6" t="s">
        <v>136</v>
      </c>
      <c r="AZ9" s="47" t="s">
        <v>91</v>
      </c>
      <c r="BA9" s="6" t="s">
        <v>137</v>
      </c>
      <c r="BB9" s="46" t="s">
        <v>92</v>
      </c>
      <c r="BD9" s="6" t="s">
        <v>138</v>
      </c>
      <c r="BE9" s="6" t="s">
        <v>139</v>
      </c>
      <c r="BF9" s="6" t="s">
        <v>141</v>
      </c>
      <c r="BG9" s="6" t="s">
        <v>142</v>
      </c>
      <c r="BH9" s="6" t="s">
        <v>140</v>
      </c>
    </row>
    <row r="10" spans="1:60" ht="15.75" customHeight="1" x14ac:dyDescent="0.75">
      <c r="A10">
        <v>2010</v>
      </c>
      <c r="B10" s="8">
        <v>230.18179999999998</v>
      </c>
      <c r="C10" s="12">
        <f t="shared" ref="C10:C50" si="0">B10*$C$6</f>
        <v>11.50909</v>
      </c>
      <c r="D10" s="12">
        <v>14</v>
      </c>
      <c r="E10" s="7">
        <f t="shared" ref="E10:E21" si="1">V10</f>
        <v>1.1999999999999999E-3</v>
      </c>
      <c r="F10" s="14">
        <f t="shared" ref="F10:F50" si="2">E10/D10</f>
        <v>8.5714285714285713E-5</v>
      </c>
      <c r="G10" s="6">
        <v>3.8E-3</v>
      </c>
      <c r="H10" s="3">
        <f t="shared" ref="H10:H50" si="3">B10-G10</f>
        <v>230.17799999999997</v>
      </c>
      <c r="I10" s="21">
        <f t="shared" ref="I10:I50" si="4">G10/B10</f>
        <v>1.6508690087574258E-5</v>
      </c>
      <c r="J10" s="4">
        <f t="shared" ref="J10:J50" si="5">B10*$M$2/1.61</f>
        <v>2644946.1490683225</v>
      </c>
      <c r="K10" s="3">
        <f t="shared" ref="K10:K50" si="6">$M$4*(1-$M$5)^(A10-$A$10)</f>
        <v>13.5</v>
      </c>
      <c r="L10" s="4">
        <f t="shared" ref="L10:L50" si="7">H10*$M$2*K10/100</f>
        <v>574869.55499999982</v>
      </c>
      <c r="M10" s="4">
        <f t="shared" ref="M10:M50" si="8">L10/(1+$V$7)/1000</f>
        <v>522.60868636363614</v>
      </c>
      <c r="N10" s="7">
        <f t="shared" ref="N10:N50" si="9">(L10/1000-M10)</f>
        <v>52.260868636363625</v>
      </c>
      <c r="O10" s="7">
        <f>M6</f>
        <v>5</v>
      </c>
      <c r="P10" s="4">
        <f t="shared" ref="P10:P50" si="10">G10*$M$2*(1/O10)</f>
        <v>14.06</v>
      </c>
      <c r="Q10" s="4">
        <f t="shared" ref="Q10:Q50" si="11">L10*$V$8/1000</f>
        <v>19545.564869999995</v>
      </c>
      <c r="R10" s="4">
        <f t="shared" ref="R10:R50" si="12">Q10/3.6</f>
        <v>5429.3235749999985</v>
      </c>
      <c r="S10" s="3">
        <f t="shared" ref="S10:S50" si="13">N10*$V$5</f>
        <v>1306.5217159090907</v>
      </c>
      <c r="T10" s="2">
        <f t="shared" ref="T10:T50" si="14">P10/1000</f>
        <v>1.4060000000000001E-2</v>
      </c>
      <c r="U10" s="2">
        <v>0.01</v>
      </c>
      <c r="V10">
        <v>1.1999999999999999E-3</v>
      </c>
      <c r="W10" s="9">
        <v>48.57775207273469</v>
      </c>
      <c r="X10" s="29">
        <f t="shared" ref="X10:X22" si="15">W10/(Y10)</f>
        <v>9.3221382011715662E-2</v>
      </c>
      <c r="Y10" s="28">
        <v>521.10096443999987</v>
      </c>
      <c r="Z10" s="3">
        <v>17588.036</v>
      </c>
      <c r="AA10" s="11">
        <v>2640867.0604000003</v>
      </c>
      <c r="AC10" s="2">
        <f t="shared" ref="AC10:AC50" si="16">N10/($AC$3*(1+$AC$5)^(A10-$A$10))</f>
        <v>5.2260868636363629</v>
      </c>
      <c r="AD10" s="2">
        <f t="shared" ref="AD10:AD50" si="17">AC10/($AD$3*(1+$AD$5)^(A10-$A$10))*1000</f>
        <v>33.716689442815245</v>
      </c>
      <c r="AS10" s="16">
        <f t="shared" ref="AS10:AS50" si="18">N10*$AS$3*3.78</f>
        <v>7.9018433378181792</v>
      </c>
      <c r="AT10" s="16"/>
      <c r="AU10" s="20">
        <f>AH10*($AU$3)*1000000/1000000000</f>
        <v>0</v>
      </c>
      <c r="AX10" s="18">
        <f>$AD10*AX$3</f>
        <v>9170.939528445746</v>
      </c>
      <c r="AY10" s="18">
        <f>$AD10*AY$3</f>
        <v>3506.5357020527854</v>
      </c>
      <c r="BD10" s="4">
        <f t="shared" ref="BD10:BD50" si="19">$BD$3*$N10</f>
        <v>15678.260590909087</v>
      </c>
      <c r="BE10" s="4">
        <f t="shared" ref="BE10:BE50" si="20">$BE$3*$N10</f>
        <v>18813.912709090906</v>
      </c>
      <c r="BF10">
        <v>0</v>
      </c>
      <c r="BG10">
        <v>0</v>
      </c>
      <c r="BH10" s="4">
        <f>BD10+BE10+BF10+BG10</f>
        <v>34492.173299999995</v>
      </c>
    </row>
    <row r="11" spans="1:60" ht="15.75" customHeight="1" x14ac:dyDescent="0.75">
      <c r="A11">
        <v>2011</v>
      </c>
      <c r="B11" s="8">
        <v>232.29170000000002</v>
      </c>
      <c r="C11" s="12">
        <f t="shared" si="0"/>
        <v>11.614585000000002</v>
      </c>
      <c r="D11" s="12">
        <f t="shared" ref="D11:D50" si="21">B11-B10+C10</f>
        <v>13.618990000000039</v>
      </c>
      <c r="E11" s="7">
        <f t="shared" si="1"/>
        <v>9.7999999999999997E-3</v>
      </c>
      <c r="F11" s="14">
        <f t="shared" si="2"/>
        <v>7.1958346397199579E-4</v>
      </c>
      <c r="G11" s="6">
        <v>2.1999999999999999E-2</v>
      </c>
      <c r="H11" s="3">
        <f t="shared" si="3"/>
        <v>232.26970000000003</v>
      </c>
      <c r="I11" s="21">
        <f t="shared" si="4"/>
        <v>9.4708506588913845E-5</v>
      </c>
      <c r="J11" s="4">
        <f t="shared" si="5"/>
        <v>2669190.3416149067</v>
      </c>
      <c r="K11" s="3">
        <f t="shared" si="6"/>
        <v>13.365</v>
      </c>
      <c r="L11" s="4">
        <f t="shared" si="7"/>
        <v>574292.63999250007</v>
      </c>
      <c r="M11" s="4">
        <f t="shared" si="8"/>
        <v>522.08421817500005</v>
      </c>
      <c r="N11" s="7">
        <f t="shared" si="9"/>
        <v>52.208421817500039</v>
      </c>
      <c r="O11" s="7">
        <f t="shared" ref="O11:O50" si="22">O10*(1+$M$8)</f>
        <v>5.05</v>
      </c>
      <c r="P11" s="4">
        <f t="shared" si="10"/>
        <v>80.594059405940598</v>
      </c>
      <c r="Q11" s="4">
        <f t="shared" si="11"/>
        <v>19525.949759745003</v>
      </c>
      <c r="R11" s="4">
        <f t="shared" si="12"/>
        <v>5423.8749332625002</v>
      </c>
      <c r="S11" s="3">
        <f t="shared" si="13"/>
        <v>1305.210545437501</v>
      </c>
      <c r="T11" s="2">
        <f t="shared" si="14"/>
        <v>8.0594059405940596E-2</v>
      </c>
      <c r="U11" s="2">
        <f t="shared" ref="U11:U22" si="23">G11-G10</f>
        <v>1.8199999999999997E-2</v>
      </c>
      <c r="V11">
        <v>9.7999999999999997E-3</v>
      </c>
      <c r="W11" s="9">
        <v>48.734121076163255</v>
      </c>
      <c r="X11" s="29">
        <f t="shared" si="15"/>
        <v>9.6084785537877568E-2</v>
      </c>
      <c r="Y11" s="28">
        <v>507.19914503999996</v>
      </c>
      <c r="Z11" s="3">
        <v>17380.57</v>
      </c>
      <c r="AA11" s="11">
        <v>2625856.9790000003</v>
      </c>
      <c r="AC11" s="2">
        <f t="shared" si="16"/>
        <v>5.2205811526923691</v>
      </c>
      <c r="AD11" s="2">
        <f t="shared" si="17"/>
        <v>33.347691808957961</v>
      </c>
      <c r="AS11" s="16">
        <f t="shared" si="18"/>
        <v>7.8939133788060056</v>
      </c>
      <c r="AT11" s="16"/>
      <c r="AU11" s="20">
        <f t="shared" ref="AU11:AU50" si="24">AH11*($AU$3)*1000000/1000000000</f>
        <v>0</v>
      </c>
      <c r="AX11" s="18">
        <f t="shared" ref="AX11:AY50" si="25">$AD11*AX$3</f>
        <v>9070.5721720365655</v>
      </c>
      <c r="AY11" s="18">
        <f t="shared" si="25"/>
        <v>3468.159948131628</v>
      </c>
      <c r="BD11" s="4">
        <f t="shared" si="19"/>
        <v>15662.526545250012</v>
      </c>
      <c r="BE11" s="4">
        <f t="shared" si="20"/>
        <v>18795.031854300014</v>
      </c>
      <c r="BF11">
        <v>0</v>
      </c>
      <c r="BG11">
        <v>0</v>
      </c>
      <c r="BH11" s="4">
        <f t="shared" ref="BH11:BH50" si="26">BD11+BE11+BF11+BG11</f>
        <v>34457.558399550027</v>
      </c>
    </row>
    <row r="12" spans="1:60" ht="15.75" customHeight="1" x14ac:dyDescent="0.75">
      <c r="A12">
        <v>2012</v>
      </c>
      <c r="B12" s="8">
        <v>231.107</v>
      </c>
      <c r="C12" s="12">
        <f t="shared" si="0"/>
        <v>11.555350000000001</v>
      </c>
      <c r="D12" s="12">
        <f t="shared" si="21"/>
        <v>10.429884999999981</v>
      </c>
      <c r="E12" s="7">
        <f t="shared" si="1"/>
        <v>1.4999999999999999E-2</v>
      </c>
      <c r="F12" s="14">
        <f t="shared" si="2"/>
        <v>1.4381750134349542E-3</v>
      </c>
      <c r="G12" s="6">
        <v>7.4999999999999997E-2</v>
      </c>
      <c r="H12" s="3">
        <f t="shared" si="3"/>
        <v>231.03200000000001</v>
      </c>
      <c r="I12" s="21">
        <f t="shared" si="4"/>
        <v>3.2452500356977505E-4</v>
      </c>
      <c r="J12" s="4">
        <f t="shared" si="5"/>
        <v>2655577.3291925462</v>
      </c>
      <c r="K12" s="3">
        <f t="shared" si="6"/>
        <v>13.231349999999999</v>
      </c>
      <c r="L12" s="4">
        <f t="shared" si="7"/>
        <v>565520.071842</v>
      </c>
      <c r="M12" s="4">
        <f t="shared" si="8"/>
        <v>514.10915621999993</v>
      </c>
      <c r="N12" s="7">
        <f t="shared" si="9"/>
        <v>51.410915622000061</v>
      </c>
      <c r="O12" s="7">
        <f t="shared" si="22"/>
        <v>5.1005000000000003</v>
      </c>
      <c r="P12" s="4">
        <f t="shared" si="10"/>
        <v>272.03215371042052</v>
      </c>
      <c r="Q12" s="4">
        <f t="shared" si="11"/>
        <v>19227.682442628</v>
      </c>
      <c r="R12" s="4">
        <f t="shared" si="12"/>
        <v>5341.0229007299995</v>
      </c>
      <c r="S12" s="3">
        <f t="shared" si="13"/>
        <v>1285.2728905500016</v>
      </c>
      <c r="T12" s="2">
        <f t="shared" si="14"/>
        <v>0.2720321537104205</v>
      </c>
      <c r="U12" s="2">
        <f t="shared" si="23"/>
        <v>5.2999999999999999E-2</v>
      </c>
      <c r="V12">
        <v>1.4999999999999999E-2</v>
      </c>
      <c r="W12" s="9">
        <v>48.698095781755093</v>
      </c>
      <c r="X12" s="29">
        <f t="shared" si="15"/>
        <v>9.6529436738685609E-2</v>
      </c>
      <c r="Y12" s="28">
        <v>504.48958811999995</v>
      </c>
      <c r="Z12" s="3">
        <v>17232.38</v>
      </c>
      <c r="AA12" s="11">
        <v>2642795.014</v>
      </c>
      <c r="AC12" s="2">
        <f t="shared" si="16"/>
        <v>5.1405774915994016</v>
      </c>
      <c r="AD12" s="2">
        <f t="shared" si="17"/>
        <v>32.511534236677633</v>
      </c>
      <c r="AS12" s="16">
        <f t="shared" si="18"/>
        <v>7.7733304420464089</v>
      </c>
      <c r="AT12" s="16"/>
      <c r="AU12" s="20">
        <f t="shared" si="24"/>
        <v>0</v>
      </c>
      <c r="AX12" s="18">
        <f t="shared" si="25"/>
        <v>8843.1373123763169</v>
      </c>
      <c r="AY12" s="18">
        <f t="shared" si="25"/>
        <v>3381.1995606144737</v>
      </c>
      <c r="BD12" s="4">
        <f t="shared" si="19"/>
        <v>15423.274686600018</v>
      </c>
      <c r="BE12" s="4">
        <f t="shared" si="20"/>
        <v>18507.929623920023</v>
      </c>
      <c r="BF12">
        <v>0</v>
      </c>
      <c r="BG12">
        <v>0</v>
      </c>
      <c r="BH12" s="4">
        <f t="shared" si="26"/>
        <v>33931.204310520043</v>
      </c>
    </row>
    <row r="13" spans="1:60" ht="15.75" customHeight="1" x14ac:dyDescent="0.75">
      <c r="A13">
        <v>2013</v>
      </c>
      <c r="B13" s="8">
        <v>233.31390000000002</v>
      </c>
      <c r="C13" s="12">
        <f t="shared" si="0"/>
        <v>11.665695000000001</v>
      </c>
      <c r="D13" s="12">
        <f t="shared" si="21"/>
        <v>13.762250000000019</v>
      </c>
      <c r="E13" s="7">
        <f t="shared" si="1"/>
        <v>4.8000000000000001E-2</v>
      </c>
      <c r="F13" s="14">
        <f t="shared" si="2"/>
        <v>3.4878017765990251E-3</v>
      </c>
      <c r="G13" s="6">
        <v>0.17199999999999999</v>
      </c>
      <c r="H13" s="3">
        <f t="shared" si="3"/>
        <v>233.14190000000002</v>
      </c>
      <c r="I13" s="21">
        <f t="shared" si="4"/>
        <v>7.3720425572586961E-4</v>
      </c>
      <c r="J13" s="4">
        <f t="shared" si="5"/>
        <v>2680936.1180124222</v>
      </c>
      <c r="K13" s="3">
        <f t="shared" si="6"/>
        <v>13.099036499999999</v>
      </c>
      <c r="L13" s="4">
        <f t="shared" si="7"/>
        <v>564977.83768917969</v>
      </c>
      <c r="M13" s="4">
        <f t="shared" si="8"/>
        <v>513.61621608107237</v>
      </c>
      <c r="N13" s="7">
        <f t="shared" si="9"/>
        <v>51.361621608107384</v>
      </c>
      <c r="O13" s="7">
        <f t="shared" si="22"/>
        <v>5.1515050000000002</v>
      </c>
      <c r="P13" s="4">
        <f t="shared" si="10"/>
        <v>617.68357014115281</v>
      </c>
      <c r="Q13" s="4">
        <f t="shared" si="11"/>
        <v>19209.24648143211</v>
      </c>
      <c r="R13" s="4">
        <f t="shared" si="12"/>
        <v>5335.9018003978081</v>
      </c>
      <c r="S13" s="3">
        <f t="shared" si="13"/>
        <v>1284.0405402026845</v>
      </c>
      <c r="T13" s="2">
        <f t="shared" si="14"/>
        <v>0.61768357014115283</v>
      </c>
      <c r="U13" s="2">
        <f t="shared" si="23"/>
        <v>9.6999999999999989E-2</v>
      </c>
      <c r="V13">
        <v>4.8000000000000001E-2</v>
      </c>
      <c r="W13" s="9">
        <v>49.978847639755095</v>
      </c>
      <c r="X13" s="29">
        <f t="shared" si="15"/>
        <v>9.7533422925774715E-2</v>
      </c>
      <c r="Y13" s="28">
        <v>512.42790563999995</v>
      </c>
      <c r="Z13" s="3">
        <v>17029.148000000001</v>
      </c>
      <c r="AA13" s="11">
        <v>2659569.912</v>
      </c>
      <c r="AC13" s="2">
        <f t="shared" si="16"/>
        <v>5.1353918135226282</v>
      </c>
      <c r="AD13" s="2">
        <f t="shared" si="17"/>
        <v>32.157165806150594</v>
      </c>
      <c r="AS13" s="16">
        <f t="shared" si="18"/>
        <v>7.7658771871458363</v>
      </c>
      <c r="AT13" s="16"/>
      <c r="AU13" s="20">
        <f t="shared" si="24"/>
        <v>0</v>
      </c>
      <c r="AX13" s="18">
        <f t="shared" si="25"/>
        <v>8746.7490992729618</v>
      </c>
      <c r="AY13" s="18">
        <f t="shared" si="25"/>
        <v>3344.3452438396616</v>
      </c>
      <c r="BD13" s="4">
        <f t="shared" si="19"/>
        <v>15408.486482432216</v>
      </c>
      <c r="BE13" s="4">
        <f t="shared" si="20"/>
        <v>18490.183778918657</v>
      </c>
      <c r="BF13">
        <v>0</v>
      </c>
      <c r="BG13">
        <v>0</v>
      </c>
      <c r="BH13" s="4">
        <f t="shared" si="26"/>
        <v>33898.670261350875</v>
      </c>
    </row>
    <row r="14" spans="1:60" ht="15.75" customHeight="1" x14ac:dyDescent="0.75">
      <c r="A14">
        <v>2014</v>
      </c>
      <c r="B14" s="8">
        <v>237.67690000000002</v>
      </c>
      <c r="C14" s="12">
        <f t="shared" si="0"/>
        <v>11.883845000000001</v>
      </c>
      <c r="D14" s="12">
        <f t="shared" si="21"/>
        <v>16.028694999999999</v>
      </c>
      <c r="E14" s="7">
        <f t="shared" si="1"/>
        <v>6.3E-2</v>
      </c>
      <c r="F14" s="14">
        <f t="shared" si="2"/>
        <v>3.930450981817297E-3</v>
      </c>
      <c r="G14" s="6">
        <v>0.28999999999999998</v>
      </c>
      <c r="H14" s="3">
        <f t="shared" si="3"/>
        <v>237.38690000000003</v>
      </c>
      <c r="I14" s="21">
        <f t="shared" si="4"/>
        <v>1.2201438170895023E-3</v>
      </c>
      <c r="J14" s="4">
        <f t="shared" si="5"/>
        <v>2731069.9689440993</v>
      </c>
      <c r="K14" s="3">
        <f t="shared" si="6"/>
        <v>12.968046135</v>
      </c>
      <c r="L14" s="4">
        <f t="shared" si="7"/>
        <v>569512.19014325691</v>
      </c>
      <c r="M14" s="4">
        <f t="shared" si="8"/>
        <v>517.73835467568813</v>
      </c>
      <c r="N14" s="7">
        <f t="shared" si="9"/>
        <v>51.773835467568802</v>
      </c>
      <c r="O14" s="7">
        <f t="shared" si="22"/>
        <v>5.2030200500000001</v>
      </c>
      <c r="P14" s="4">
        <f t="shared" si="10"/>
        <v>1031.131909630062</v>
      </c>
      <c r="Q14" s="4">
        <f t="shared" si="11"/>
        <v>19363.414464870737</v>
      </c>
      <c r="R14" s="4">
        <f t="shared" si="12"/>
        <v>5378.726240241871</v>
      </c>
      <c r="S14" s="3">
        <f t="shared" si="13"/>
        <v>1294.3458866892202</v>
      </c>
      <c r="T14" s="2">
        <f t="shared" si="14"/>
        <v>1.031131909630062</v>
      </c>
      <c r="U14" s="2">
        <f t="shared" si="23"/>
        <v>0.11799999999999999</v>
      </c>
      <c r="V14">
        <v>6.3E-2</v>
      </c>
      <c r="W14" s="9">
        <v>50.869729824979586</v>
      </c>
      <c r="X14" s="29">
        <f t="shared" si="15"/>
        <v>9.8405568095353724E-2</v>
      </c>
      <c r="Y14" s="28">
        <v>516.93954731999997</v>
      </c>
      <c r="Z14" s="3">
        <v>17393.271999999997</v>
      </c>
      <c r="AA14" s="11">
        <v>2692834.1248000003</v>
      </c>
      <c r="AC14" s="2">
        <f t="shared" si="16"/>
        <v>5.1763481994691736</v>
      </c>
      <c r="AD14" s="2">
        <f t="shared" si="17"/>
        <v>32.092702425089627</v>
      </c>
      <c r="AS14" s="16">
        <f t="shared" si="18"/>
        <v>7.8282039226964031</v>
      </c>
      <c r="AT14" s="16"/>
      <c r="AU14" s="20">
        <f t="shared" si="24"/>
        <v>0</v>
      </c>
      <c r="AX14" s="18">
        <f t="shared" si="25"/>
        <v>8729.2150596243791</v>
      </c>
      <c r="AY14" s="18">
        <f t="shared" si="25"/>
        <v>3337.6410522093211</v>
      </c>
      <c r="BD14" s="4">
        <f t="shared" si="19"/>
        <v>15532.15064027064</v>
      </c>
      <c r="BE14" s="4">
        <f t="shared" si="20"/>
        <v>18638.580768324769</v>
      </c>
      <c r="BF14">
        <v>0</v>
      </c>
      <c r="BG14">
        <v>0</v>
      </c>
      <c r="BH14" s="4">
        <f t="shared" si="26"/>
        <v>34170.731408595413</v>
      </c>
    </row>
    <row r="15" spans="1:60" x14ac:dyDescent="0.75">
      <c r="A15">
        <v>2015</v>
      </c>
      <c r="B15" s="4">
        <v>239.99440000000001</v>
      </c>
      <c r="C15" s="12">
        <f t="shared" si="0"/>
        <v>11.999720000000002</v>
      </c>
      <c r="D15" s="12">
        <f t="shared" si="21"/>
        <v>14.201344999999996</v>
      </c>
      <c r="E15" s="7">
        <f t="shared" si="1"/>
        <v>7.0999999999999994E-2</v>
      </c>
      <c r="F15" s="14">
        <f t="shared" si="2"/>
        <v>4.9995264533042481E-3</v>
      </c>
      <c r="G15" s="2">
        <v>0.4</v>
      </c>
      <c r="H15" s="3">
        <f t="shared" si="3"/>
        <v>239.59440000000001</v>
      </c>
      <c r="I15" s="21">
        <f t="shared" si="4"/>
        <v>1.6667055564629841E-3</v>
      </c>
      <c r="J15" s="4">
        <f t="shared" si="5"/>
        <v>2757699.6273291926</v>
      </c>
      <c r="K15" s="3">
        <f t="shared" si="6"/>
        <v>12.838365673649999</v>
      </c>
      <c r="L15" s="4">
        <f t="shared" si="7"/>
        <v>569060.09630337206</v>
      </c>
      <c r="M15" s="4">
        <f t="shared" si="8"/>
        <v>517.32736027579267</v>
      </c>
      <c r="N15" s="7">
        <f t="shared" si="9"/>
        <v>51.732736027579335</v>
      </c>
      <c r="O15" s="7">
        <f t="shared" si="22"/>
        <v>5.2550502505000001</v>
      </c>
      <c r="P15" s="4">
        <f t="shared" si="10"/>
        <v>1408.1692176579884</v>
      </c>
      <c r="Q15" s="4">
        <f t="shared" si="11"/>
        <v>19348.043274314648</v>
      </c>
      <c r="R15" s="4">
        <f t="shared" si="12"/>
        <v>5374.4564650874026</v>
      </c>
      <c r="S15" s="3">
        <f t="shared" si="13"/>
        <v>1293.3184006894835</v>
      </c>
      <c r="T15" s="2">
        <f t="shared" si="14"/>
        <v>1.4081692176579883</v>
      </c>
      <c r="U15" s="2">
        <f t="shared" si="23"/>
        <v>0.11000000000000004</v>
      </c>
      <c r="V15">
        <v>7.0999999999999994E-2</v>
      </c>
      <c r="W15" s="9">
        <v>52.781588079428566</v>
      </c>
      <c r="X15" s="29">
        <f t="shared" si="15"/>
        <v>9.9239099341333695E-2</v>
      </c>
      <c r="Y15" s="28">
        <v>531.86282855999991</v>
      </c>
      <c r="Z15" s="3">
        <v>17482.185999999998</v>
      </c>
      <c r="AA15" s="11">
        <v>2754880.7595999995</v>
      </c>
      <c r="AC15" s="2">
        <f t="shared" si="16"/>
        <v>5.1719804783323715</v>
      </c>
      <c r="AD15" s="2">
        <f t="shared" si="17"/>
        <v>31.748141691001237</v>
      </c>
      <c r="AF15" s="2"/>
      <c r="AS15" s="16">
        <f t="shared" si="18"/>
        <v>7.8219896873699959</v>
      </c>
      <c r="AT15" s="16"/>
      <c r="AU15" s="20">
        <f t="shared" si="24"/>
        <v>0</v>
      </c>
      <c r="AX15" s="18">
        <f t="shared" si="25"/>
        <v>8635.4945399523367</v>
      </c>
      <c r="AY15" s="18">
        <f t="shared" si="25"/>
        <v>3301.8067358641288</v>
      </c>
      <c r="BD15" s="4">
        <f t="shared" si="19"/>
        <v>15519.8208082738</v>
      </c>
      <c r="BE15" s="4">
        <f t="shared" si="20"/>
        <v>18623.784969928562</v>
      </c>
      <c r="BF15">
        <v>0</v>
      </c>
      <c r="BG15">
        <v>0</v>
      </c>
      <c r="BH15" s="4">
        <f t="shared" si="26"/>
        <v>34143.605778202364</v>
      </c>
    </row>
    <row r="16" spans="1:60" x14ac:dyDescent="0.75">
      <c r="A16">
        <v>2016</v>
      </c>
      <c r="B16" s="4">
        <v>244.52480000000003</v>
      </c>
      <c r="C16" s="12">
        <f t="shared" si="0"/>
        <v>12.226240000000002</v>
      </c>
      <c r="D16" s="12">
        <f t="shared" si="21"/>
        <v>16.530120000000018</v>
      </c>
      <c r="E16" s="7">
        <f t="shared" si="1"/>
        <v>8.6999999999999994E-2</v>
      </c>
      <c r="F16" s="14">
        <f t="shared" si="2"/>
        <v>5.263119686971413E-3</v>
      </c>
      <c r="G16" s="2">
        <v>0.56999999999999995</v>
      </c>
      <c r="H16" s="3">
        <f t="shared" si="3"/>
        <v>243.95480000000003</v>
      </c>
      <c r="I16" s="21">
        <f t="shared" si="4"/>
        <v>2.3310519014840209E-3</v>
      </c>
      <c r="J16" s="4">
        <f t="shared" si="5"/>
        <v>2809757.0186335407</v>
      </c>
      <c r="K16" s="3">
        <f t="shared" si="6"/>
        <v>12.709982016913498</v>
      </c>
      <c r="L16" s="4">
        <f t="shared" si="7"/>
        <v>573622.30737385002</v>
      </c>
      <c r="M16" s="4">
        <f t="shared" si="8"/>
        <v>521.47482488531818</v>
      </c>
      <c r="N16" s="7">
        <f t="shared" si="9"/>
        <v>52.147482488531864</v>
      </c>
      <c r="O16" s="7">
        <f t="shared" si="22"/>
        <v>5.3076007530050004</v>
      </c>
      <c r="P16" s="4">
        <f t="shared" si="10"/>
        <v>1986.7734011511218</v>
      </c>
      <c r="Q16" s="4">
        <f t="shared" si="11"/>
        <v>19503.1584507109</v>
      </c>
      <c r="R16" s="4">
        <f t="shared" si="12"/>
        <v>5417.5440140863611</v>
      </c>
      <c r="S16" s="3">
        <f t="shared" si="13"/>
        <v>1303.6870622132965</v>
      </c>
      <c r="T16" s="2">
        <f t="shared" si="14"/>
        <v>1.9867734011511218</v>
      </c>
      <c r="U16" s="2">
        <f t="shared" si="23"/>
        <v>0.16999999999999993</v>
      </c>
      <c r="V16">
        <v>8.6999999999999994E-2</v>
      </c>
      <c r="W16" s="9">
        <v>54.330034882408164</v>
      </c>
      <c r="X16" s="29">
        <f t="shared" si="15"/>
        <v>0.10035476987326569</v>
      </c>
      <c r="Y16" s="28">
        <v>541.37969676</v>
      </c>
      <c r="Z16" s="3">
        <v>17651.546000000002</v>
      </c>
      <c r="AA16" s="11">
        <v>2825222.8109690794</v>
      </c>
      <c r="AC16" s="2">
        <f t="shared" si="16"/>
        <v>5.2131840981163116</v>
      </c>
      <c r="AD16" s="2">
        <f t="shared" si="17"/>
        <v>31.684227355699804</v>
      </c>
      <c r="AF16" s="2"/>
      <c r="AG16" s="2"/>
      <c r="AS16" s="16">
        <f t="shared" si="18"/>
        <v>7.8846993522660167</v>
      </c>
      <c r="AT16" s="16"/>
      <c r="AU16" s="20">
        <f t="shared" si="24"/>
        <v>0</v>
      </c>
      <c r="AX16" s="18">
        <f t="shared" si="25"/>
        <v>8618.1098407503468</v>
      </c>
      <c r="AY16" s="18">
        <f t="shared" si="25"/>
        <v>3295.1596449927797</v>
      </c>
      <c r="BD16" s="4">
        <f t="shared" si="19"/>
        <v>15644.24474655956</v>
      </c>
      <c r="BE16" s="4">
        <f t="shared" si="20"/>
        <v>18773.09369587147</v>
      </c>
      <c r="BF16">
        <v>0</v>
      </c>
      <c r="BG16">
        <v>0</v>
      </c>
      <c r="BH16" s="4">
        <f t="shared" si="26"/>
        <v>34417.338442431028</v>
      </c>
    </row>
    <row r="17" spans="1:60" x14ac:dyDescent="0.75">
      <c r="A17">
        <v>2017</v>
      </c>
      <c r="B17" s="4">
        <v>245.5479</v>
      </c>
      <c r="C17" s="12">
        <f t="shared" si="0"/>
        <v>12.277395</v>
      </c>
      <c r="D17" s="12">
        <f t="shared" si="21"/>
        <v>13.249339999999973</v>
      </c>
      <c r="E17" s="7">
        <f t="shared" si="1"/>
        <v>0.1</v>
      </c>
      <c r="F17" s="14">
        <f t="shared" si="2"/>
        <v>7.5475457645437592E-3</v>
      </c>
      <c r="G17" s="2">
        <v>0.76</v>
      </c>
      <c r="H17" s="3">
        <f t="shared" si="3"/>
        <v>244.78790000000001</v>
      </c>
      <c r="I17" s="21">
        <f t="shared" si="4"/>
        <v>3.0951191193245801E-3</v>
      </c>
      <c r="J17" s="4">
        <f t="shared" si="5"/>
        <v>2821513.1366459629</v>
      </c>
      <c r="K17" s="3">
        <f t="shared" si="6"/>
        <v>12.582882196744364</v>
      </c>
      <c r="L17" s="4">
        <f t="shared" si="7"/>
        <v>569825.4021443614</v>
      </c>
      <c r="M17" s="4">
        <f t="shared" si="8"/>
        <v>518.02309285851038</v>
      </c>
      <c r="N17" s="7">
        <f t="shared" si="9"/>
        <v>51.802309285851038</v>
      </c>
      <c r="O17" s="7">
        <f t="shared" si="22"/>
        <v>5.3606767605350507</v>
      </c>
      <c r="P17" s="4">
        <f t="shared" si="10"/>
        <v>2622.8031698364643</v>
      </c>
      <c r="Q17" s="4">
        <f t="shared" si="11"/>
        <v>19374.063672908287</v>
      </c>
      <c r="R17" s="4">
        <f t="shared" si="12"/>
        <v>5381.6843535856351</v>
      </c>
      <c r="S17" s="3">
        <f t="shared" si="13"/>
        <v>1295.0577321462761</v>
      </c>
      <c r="T17" s="2">
        <f t="shared" si="14"/>
        <v>2.6228031698364642</v>
      </c>
      <c r="U17" s="2">
        <f t="shared" si="23"/>
        <v>0.19000000000000006</v>
      </c>
      <c r="V17">
        <v>0.1</v>
      </c>
      <c r="W17" s="9">
        <v>54.890509729591827</v>
      </c>
      <c r="X17" s="29">
        <f t="shared" si="15"/>
        <v>0.10156472390072797</v>
      </c>
      <c r="Y17" s="28">
        <v>540.44856935999996</v>
      </c>
      <c r="Z17" s="3">
        <v>17477.952000000001</v>
      </c>
      <c r="AA17" s="11">
        <v>2858988.8403285863</v>
      </c>
      <c r="AC17" s="2">
        <f t="shared" si="16"/>
        <v>5.1784182103218752</v>
      </c>
      <c r="AD17" s="2">
        <f t="shared" si="17"/>
        <v>31.161317158654359</v>
      </c>
      <c r="AF17" s="2"/>
      <c r="AG17" s="2"/>
      <c r="AS17" s="16">
        <f t="shared" si="18"/>
        <v>7.8325091640206761</v>
      </c>
      <c r="AT17" s="16"/>
      <c r="AU17" s="20">
        <f t="shared" si="24"/>
        <v>0</v>
      </c>
      <c r="AX17" s="18">
        <f t="shared" si="25"/>
        <v>8475.8782671539866</v>
      </c>
      <c r="AY17" s="18">
        <f t="shared" si="25"/>
        <v>3240.7769845000535</v>
      </c>
      <c r="BD17" s="4">
        <f t="shared" si="19"/>
        <v>15540.692785755311</v>
      </c>
      <c r="BE17" s="4">
        <f t="shared" si="20"/>
        <v>18648.831342906375</v>
      </c>
      <c r="BF17">
        <v>0</v>
      </c>
      <c r="BG17">
        <v>0</v>
      </c>
      <c r="BH17" s="4">
        <f t="shared" si="26"/>
        <v>34189.524128661687</v>
      </c>
    </row>
    <row r="18" spans="1:60" x14ac:dyDescent="0.75">
      <c r="A18">
        <v>2018</v>
      </c>
      <c r="B18" s="4">
        <v>248.67359977370211</v>
      </c>
      <c r="C18" s="12">
        <f t="shared" si="0"/>
        <v>12.433679988685107</v>
      </c>
      <c r="D18" s="12">
        <f t="shared" si="21"/>
        <v>15.40309477370211</v>
      </c>
      <c r="E18" s="7">
        <f t="shared" si="1"/>
        <v>0.24</v>
      </c>
      <c r="F18" s="14">
        <f t="shared" si="2"/>
        <v>1.5581284379925708E-2</v>
      </c>
      <c r="G18" s="2">
        <v>1.1200000000000001</v>
      </c>
      <c r="H18" s="3">
        <f t="shared" si="3"/>
        <v>247.5535997737021</v>
      </c>
      <c r="I18" s="21">
        <f t="shared" si="4"/>
        <v>4.5038958740261223E-3</v>
      </c>
      <c r="J18" s="4">
        <f t="shared" si="5"/>
        <v>2857429.5626170733</v>
      </c>
      <c r="K18" s="3">
        <f t="shared" si="6"/>
        <v>12.457053374776919</v>
      </c>
      <c r="L18" s="4">
        <f t="shared" si="7"/>
        <v>570500.85501734656</v>
      </c>
      <c r="M18" s="4">
        <f t="shared" si="8"/>
        <v>518.63714092486055</v>
      </c>
      <c r="N18" s="7">
        <f t="shared" si="9"/>
        <v>51.86371409248602</v>
      </c>
      <c r="O18" s="7">
        <f t="shared" si="22"/>
        <v>5.4142835281404009</v>
      </c>
      <c r="P18" s="4">
        <f t="shared" si="10"/>
        <v>3826.9144739667026</v>
      </c>
      <c r="Q18" s="4">
        <f t="shared" si="11"/>
        <v>19397.029070589786</v>
      </c>
      <c r="R18" s="4">
        <f t="shared" si="12"/>
        <v>5388.0636307193845</v>
      </c>
      <c r="S18" s="3">
        <f t="shared" si="13"/>
        <v>1296.5928523121506</v>
      </c>
      <c r="T18" s="2">
        <f t="shared" si="14"/>
        <v>3.8269144739667027</v>
      </c>
      <c r="U18" s="2">
        <f t="shared" si="23"/>
        <v>0.3600000000000001</v>
      </c>
      <c r="V18">
        <v>0.24</v>
      </c>
      <c r="W18" s="9">
        <v>54.776391484408158</v>
      </c>
      <c r="X18" s="29">
        <f t="shared" si="15"/>
        <v>0.10132698870960422</v>
      </c>
      <c r="Y18" s="28">
        <v>540.59034204</v>
      </c>
      <c r="Z18" s="3">
        <v>17321.294000000002</v>
      </c>
      <c r="AA18" s="11">
        <v>2883890.0066558509</v>
      </c>
      <c r="AC18" s="2">
        <f t="shared" si="16"/>
        <v>5.1842973273805404</v>
      </c>
      <c r="AD18" s="2">
        <f t="shared" si="17"/>
        <v>30.88781678836013</v>
      </c>
      <c r="AF18" s="2"/>
      <c r="AG18" s="2"/>
      <c r="AS18" s="16">
        <f t="shared" si="18"/>
        <v>7.8417935707838868</v>
      </c>
      <c r="AT18" s="16"/>
      <c r="AU18" s="20">
        <f t="shared" si="24"/>
        <v>0</v>
      </c>
      <c r="AX18" s="18">
        <f t="shared" si="25"/>
        <v>8401.4861664339551</v>
      </c>
      <c r="AY18" s="18">
        <f t="shared" si="25"/>
        <v>3212.3329459894535</v>
      </c>
      <c r="BD18" s="4">
        <f t="shared" si="19"/>
        <v>15559.114227745806</v>
      </c>
      <c r="BE18" s="4">
        <f t="shared" si="20"/>
        <v>18670.937073294968</v>
      </c>
      <c r="BF18">
        <v>0</v>
      </c>
      <c r="BG18">
        <v>0</v>
      </c>
      <c r="BH18" s="4">
        <f t="shared" si="26"/>
        <v>34230.051301040774</v>
      </c>
    </row>
    <row r="19" spans="1:60" x14ac:dyDescent="0.75">
      <c r="A19">
        <v>2019</v>
      </c>
      <c r="B19" s="4">
        <v>251.06461543972623</v>
      </c>
      <c r="C19" s="12">
        <f t="shared" si="0"/>
        <v>12.553230771986312</v>
      </c>
      <c r="D19" s="12">
        <f t="shared" si="21"/>
        <v>14.824695654709224</v>
      </c>
      <c r="E19" s="7">
        <f t="shared" si="1"/>
        <v>0.24</v>
      </c>
      <c r="F19" s="14">
        <f t="shared" si="2"/>
        <v>1.618920250303833E-2</v>
      </c>
      <c r="G19" s="2">
        <v>1.45</v>
      </c>
      <c r="H19" s="3">
        <f t="shared" si="3"/>
        <v>249.61461543972624</v>
      </c>
      <c r="I19" s="21">
        <f t="shared" si="4"/>
        <v>5.7754056558723043E-3</v>
      </c>
      <c r="J19" s="4">
        <f t="shared" si="5"/>
        <v>2884903.9662328791</v>
      </c>
      <c r="K19" s="3">
        <f t="shared" si="6"/>
        <v>12.332482841029149</v>
      </c>
      <c r="L19" s="4">
        <f t="shared" si="7"/>
        <v>569498.07292939501</v>
      </c>
      <c r="M19" s="4">
        <f t="shared" si="8"/>
        <v>517.72552084490451</v>
      </c>
      <c r="N19" s="7">
        <f t="shared" si="9"/>
        <v>51.772552084490485</v>
      </c>
      <c r="O19" s="7">
        <f t="shared" si="22"/>
        <v>5.4684263634218047</v>
      </c>
      <c r="P19" s="4">
        <f t="shared" si="10"/>
        <v>4905.433157047134</v>
      </c>
      <c r="Q19" s="4">
        <f t="shared" si="11"/>
        <v>19362.934479599433</v>
      </c>
      <c r="R19" s="4">
        <f t="shared" si="12"/>
        <v>5378.5929109998424</v>
      </c>
      <c r="S19" s="3">
        <f t="shared" si="13"/>
        <v>1294.3138021122622</v>
      </c>
      <c r="T19" s="2">
        <f t="shared" si="14"/>
        <v>4.9054331570471339</v>
      </c>
      <c r="U19" s="2">
        <f t="shared" si="23"/>
        <v>0.32999999999999985</v>
      </c>
      <c r="V19">
        <v>0.24</v>
      </c>
      <c r="W19" s="9">
        <v>55.217941662122442</v>
      </c>
      <c r="X19" s="29">
        <f t="shared" si="15"/>
        <v>0.10235931704886156</v>
      </c>
      <c r="Y19" s="28">
        <v>539.45203284000002</v>
      </c>
      <c r="Z19" s="3">
        <v>17245.822157127219</v>
      </c>
      <c r="AC19" s="2">
        <f t="shared" si="16"/>
        <v>5.174926025939687</v>
      </c>
      <c r="AD19" s="2">
        <f t="shared" si="17"/>
        <v>30.526715825885447</v>
      </c>
      <c r="AF19" s="2"/>
      <c r="AG19" s="2"/>
      <c r="AH19" s="3"/>
      <c r="AS19" s="16">
        <f t="shared" si="18"/>
        <v>7.8280098751749607</v>
      </c>
      <c r="AT19" s="16"/>
      <c r="AU19" s="20">
        <f t="shared" si="24"/>
        <v>0</v>
      </c>
      <c r="AX19" s="18">
        <f t="shared" si="25"/>
        <v>8303.2667046408424</v>
      </c>
      <c r="AY19" s="18">
        <f t="shared" si="25"/>
        <v>3174.7784458920864</v>
      </c>
      <c r="BD19" s="4">
        <f t="shared" si="19"/>
        <v>15531.765625347145</v>
      </c>
      <c r="BE19" s="4">
        <f t="shared" si="20"/>
        <v>18638.118750416575</v>
      </c>
      <c r="BF19">
        <v>0</v>
      </c>
      <c r="BG19">
        <v>0</v>
      </c>
      <c r="BH19" s="4">
        <f t="shared" si="26"/>
        <v>34169.884375763722</v>
      </c>
    </row>
    <row r="20" spans="1:60" x14ac:dyDescent="0.75">
      <c r="A20">
        <v>2020</v>
      </c>
      <c r="B20" s="4">
        <f t="shared" ref="B20:B50" si="27">B19*(1+$C$4)</f>
        <v>252.31993851692482</v>
      </c>
      <c r="C20" s="12">
        <f t="shared" si="0"/>
        <v>12.615996925846241</v>
      </c>
      <c r="D20" s="12">
        <f t="shared" si="21"/>
        <v>13.808553849184909</v>
      </c>
      <c r="E20" s="7">
        <f t="shared" si="1"/>
        <v>0.23</v>
      </c>
      <c r="F20" s="14">
        <f t="shared" si="2"/>
        <v>1.6656342330415467E-2</v>
      </c>
      <c r="G20" s="3">
        <v>1.74</v>
      </c>
      <c r="H20" s="3">
        <f t="shared" si="3"/>
        <v>250.57993851692481</v>
      </c>
      <c r="I20" s="21">
        <f t="shared" si="4"/>
        <v>6.8960067532803648E-3</v>
      </c>
      <c r="J20" s="4">
        <f t="shared" si="5"/>
        <v>2899328.4860640429</v>
      </c>
      <c r="K20" s="3">
        <f t="shared" si="6"/>
        <v>12.209158012618857</v>
      </c>
      <c r="L20" s="4">
        <f t="shared" si="7"/>
        <v>565983.46186690882</v>
      </c>
      <c r="M20" s="4">
        <f t="shared" si="8"/>
        <v>514.53041987900792</v>
      </c>
      <c r="N20" s="7">
        <f t="shared" si="9"/>
        <v>51.45304198790086</v>
      </c>
      <c r="O20" s="7">
        <f t="shared" si="22"/>
        <v>5.5231106270560231</v>
      </c>
      <c r="P20" s="4">
        <f t="shared" si="10"/>
        <v>5828.2374143134257</v>
      </c>
      <c r="Q20" s="4">
        <f t="shared" si="11"/>
        <v>19243.437703474901</v>
      </c>
      <c r="R20" s="4">
        <f t="shared" si="12"/>
        <v>5345.3993620763613</v>
      </c>
      <c r="S20" s="3">
        <f t="shared" si="13"/>
        <v>1286.3260496975215</v>
      </c>
      <c r="T20" s="2">
        <f t="shared" si="14"/>
        <v>5.8282374143134259</v>
      </c>
      <c r="U20" s="2">
        <f t="shared" si="23"/>
        <v>0.29000000000000004</v>
      </c>
      <c r="V20">
        <v>0.23</v>
      </c>
      <c r="W20" s="9">
        <v>48.043369243102035</v>
      </c>
      <c r="X20" s="29">
        <f t="shared" si="15"/>
        <v>0.10272060294373449</v>
      </c>
      <c r="Y20" s="28">
        <v>467.70918263999999</v>
      </c>
      <c r="Z20" s="3">
        <v>15697.258620000001</v>
      </c>
      <c r="AC20" s="2">
        <f t="shared" si="16"/>
        <v>5.1427322540285401</v>
      </c>
      <c r="AD20" s="2">
        <f t="shared" si="17"/>
        <v>30.036441426134697</v>
      </c>
      <c r="AF20" s="10">
        <f t="shared" ref="AF20:AF24" si="28">AF21/4</f>
        <v>1.0630478703081677E-5</v>
      </c>
      <c r="AG20" s="2">
        <f t="shared" ref="AG20:AG24" si="29">(AF20-AF19)/$AF$3*1000</f>
        <v>2.1260957406163353E-3</v>
      </c>
      <c r="AH20" s="3">
        <f t="shared" ref="AH20:AH24" si="30">AF20/$AF$3*1000*$AF$5</f>
        <v>2.1260957406163353E-3</v>
      </c>
      <c r="AI20" s="2"/>
      <c r="AJ20" s="24"/>
      <c r="AK20" s="2"/>
      <c r="AS20" s="16">
        <f t="shared" si="18"/>
        <v>7.7796999485706095</v>
      </c>
      <c r="AT20" s="16"/>
      <c r="AU20" s="20">
        <f t="shared" si="24"/>
        <v>6.3782872218490067E-5</v>
      </c>
      <c r="AX20" s="18">
        <f t="shared" si="25"/>
        <v>8169.9120679086373</v>
      </c>
      <c r="AY20" s="18">
        <f t="shared" si="25"/>
        <v>3123.7899083180087</v>
      </c>
      <c r="AZ20" s="20"/>
      <c r="BA20" s="20">
        <v>0</v>
      </c>
      <c r="BD20" s="4">
        <f t="shared" si="19"/>
        <v>15435.912596370257</v>
      </c>
      <c r="BE20" s="4">
        <f t="shared" si="20"/>
        <v>18523.095115644312</v>
      </c>
      <c r="BF20" s="4">
        <f t="shared" ref="BF20:BF50" si="31">$BF$3*AG20*1000</f>
        <v>6.3782872218490061</v>
      </c>
      <c r="BG20" s="4">
        <f t="shared" ref="BG20:BG50" si="32">AF20/$AF$3*$AF$7*$BG$3*1000000</f>
        <v>1.4882670184314351E-2</v>
      </c>
      <c r="BH20" s="4">
        <f t="shared" si="26"/>
        <v>33965.400881906608</v>
      </c>
    </row>
    <row r="21" spans="1:60" x14ac:dyDescent="0.75">
      <c r="A21">
        <v>2021</v>
      </c>
      <c r="B21" s="4">
        <f t="shared" si="27"/>
        <v>253.58153820950943</v>
      </c>
      <c r="C21" s="12">
        <f t="shared" si="0"/>
        <v>12.679076910475473</v>
      </c>
      <c r="D21" s="12">
        <f t="shared" si="21"/>
        <v>13.877596618430852</v>
      </c>
      <c r="E21" s="7">
        <f t="shared" si="1"/>
        <v>0.47</v>
      </c>
      <c r="F21" s="14">
        <f t="shared" si="2"/>
        <v>3.3867535778910912E-2</v>
      </c>
      <c r="G21" s="3">
        <v>2.2200000000000002</v>
      </c>
      <c r="H21" s="3">
        <f t="shared" si="3"/>
        <v>251.36153820950943</v>
      </c>
      <c r="I21" s="21">
        <f t="shared" si="4"/>
        <v>8.7545805411347929E-3</v>
      </c>
      <c r="J21" s="4">
        <f t="shared" si="5"/>
        <v>2913825.1284943633</v>
      </c>
      <c r="K21" s="3">
        <f t="shared" si="6"/>
        <v>12.087066432492669</v>
      </c>
      <c r="L21" s="4">
        <f t="shared" si="7"/>
        <v>562071.36801869876</v>
      </c>
      <c r="M21" s="4">
        <f t="shared" si="8"/>
        <v>510.97397092608975</v>
      </c>
      <c r="N21" s="7">
        <f t="shared" si="9"/>
        <v>51.097397092609015</v>
      </c>
      <c r="O21" s="7">
        <f t="shared" si="22"/>
        <v>5.5783417333265835</v>
      </c>
      <c r="P21" s="4">
        <f t="shared" si="10"/>
        <v>7362.4030156912513</v>
      </c>
      <c r="Q21" s="4">
        <f t="shared" si="11"/>
        <v>19110.426512635757</v>
      </c>
      <c r="R21" s="4">
        <f t="shared" si="12"/>
        <v>5308.4518090654883</v>
      </c>
      <c r="S21" s="3">
        <f t="shared" si="13"/>
        <v>1277.4349273152254</v>
      </c>
      <c r="T21" s="2">
        <f t="shared" si="14"/>
        <v>7.3624030156912514</v>
      </c>
      <c r="U21" s="2">
        <f t="shared" si="23"/>
        <v>0.4800000000000002</v>
      </c>
      <c r="V21">
        <v>0.47</v>
      </c>
      <c r="W21" s="9">
        <v>52.868515695795914</v>
      </c>
      <c r="X21" s="29">
        <f t="shared" si="15"/>
        <v>0.10349191609718521</v>
      </c>
      <c r="Y21" s="28">
        <v>510.8468148</v>
      </c>
      <c r="Z21" s="3">
        <v>16435.234235</v>
      </c>
      <c r="AC21" s="2">
        <f t="shared" si="16"/>
        <v>5.1069301953452122</v>
      </c>
      <c r="AD21" s="2">
        <f t="shared" si="17"/>
        <v>29.532017147069364</v>
      </c>
      <c r="AF21" s="10">
        <f t="shared" si="28"/>
        <v>4.2521914812326709E-5</v>
      </c>
      <c r="AG21" s="2">
        <f t="shared" si="29"/>
        <v>6.3782872218490069E-3</v>
      </c>
      <c r="AH21" s="3">
        <f t="shared" si="30"/>
        <v>8.5043829624653414E-3</v>
      </c>
      <c r="AI21" s="2"/>
      <c r="AJ21" s="24"/>
      <c r="AK21" s="2"/>
      <c r="AS21" s="16">
        <f t="shared" si="18"/>
        <v>7.7259264404024837</v>
      </c>
      <c r="AT21" s="16"/>
      <c r="AU21" s="20">
        <f t="shared" si="24"/>
        <v>2.5513148887396027E-4</v>
      </c>
      <c r="AX21" s="18">
        <f t="shared" si="25"/>
        <v>8032.7086640028674</v>
      </c>
      <c r="AY21" s="18">
        <f t="shared" si="25"/>
        <v>3071.3297832952139</v>
      </c>
      <c r="AZ21" s="20"/>
      <c r="BA21" s="20">
        <v>0</v>
      </c>
      <c r="BD21" s="4">
        <f t="shared" si="19"/>
        <v>15329.219127782704</v>
      </c>
      <c r="BE21" s="4">
        <f t="shared" si="20"/>
        <v>18395.062953339246</v>
      </c>
      <c r="BF21" s="4">
        <f t="shared" si="31"/>
        <v>19.134861665547021</v>
      </c>
      <c r="BG21" s="4">
        <f t="shared" si="32"/>
        <v>5.9530680737257403E-2</v>
      </c>
      <c r="BH21" s="4">
        <f t="shared" si="26"/>
        <v>33743.476473468232</v>
      </c>
    </row>
    <row r="22" spans="1:60" x14ac:dyDescent="0.75">
      <c r="A22">
        <v>2022</v>
      </c>
      <c r="B22" s="4">
        <f t="shared" si="27"/>
        <v>254.84944590055696</v>
      </c>
      <c r="C22" s="12">
        <f t="shared" si="0"/>
        <v>12.742472295027849</v>
      </c>
      <c r="D22" s="12">
        <f t="shared" si="21"/>
        <v>13.946984601522999</v>
      </c>
      <c r="E22" s="7">
        <f t="shared" ref="E22:E50" si="33">E21+$H$4*E21*(1-E21/D21)</f>
        <v>0.66525537101908205</v>
      </c>
      <c r="F22" s="14">
        <f t="shared" si="2"/>
        <v>4.7698867534881818E-2</v>
      </c>
      <c r="G22" s="3">
        <f t="shared" ref="G22:G50" si="34">G21*(1-$C$6)+E22</f>
        <v>2.7742553710190823</v>
      </c>
      <c r="H22" s="3">
        <f t="shared" si="3"/>
        <v>252.07519052953788</v>
      </c>
      <c r="I22" s="21">
        <f t="shared" si="4"/>
        <v>1.088585992885229E-2</v>
      </c>
      <c r="J22" s="4">
        <f t="shared" si="5"/>
        <v>2928394.2541368343</v>
      </c>
      <c r="K22" s="3">
        <f t="shared" si="6"/>
        <v>11.966195768167744</v>
      </c>
      <c r="L22" s="4">
        <f t="shared" si="7"/>
        <v>558030.4994623072</v>
      </c>
      <c r="M22" s="4">
        <f t="shared" si="8"/>
        <v>507.30045405664288</v>
      </c>
      <c r="N22" s="7">
        <f t="shared" si="9"/>
        <v>50.730045405664271</v>
      </c>
      <c r="O22" s="7">
        <f t="shared" si="22"/>
        <v>5.6341251506598491</v>
      </c>
      <c r="P22" s="4">
        <f t="shared" si="10"/>
        <v>9109.4398848847304</v>
      </c>
      <c r="Q22" s="4">
        <f t="shared" si="11"/>
        <v>18973.036981718444</v>
      </c>
      <c r="R22" s="4">
        <f t="shared" si="12"/>
        <v>5270.2880504773457</v>
      </c>
      <c r="S22" s="3">
        <f t="shared" si="13"/>
        <v>1268.2511351416067</v>
      </c>
      <c r="T22" s="2">
        <f t="shared" si="14"/>
        <v>9.1094398848847309</v>
      </c>
      <c r="U22" s="2">
        <f t="shared" si="23"/>
        <v>0.55425537101908207</v>
      </c>
      <c r="V22">
        <v>0.8</v>
      </c>
      <c r="W22" s="9">
        <v>53.222222747755097</v>
      </c>
      <c r="X22" s="29">
        <f t="shared" si="15"/>
        <v>0.10425289944991839</v>
      </c>
      <c r="Y22" s="28">
        <v>510.51071988000007</v>
      </c>
      <c r="AC22" s="2">
        <f t="shared" si="16"/>
        <v>5.0699617268471888</v>
      </c>
      <c r="AD22" s="2">
        <f t="shared" si="17"/>
        <v>29.027958752351733</v>
      </c>
      <c r="AF22" s="10">
        <f t="shared" si="28"/>
        <v>1.7008765924930684E-4</v>
      </c>
      <c r="AG22" s="2">
        <f t="shared" si="29"/>
        <v>2.5513148887396028E-2</v>
      </c>
      <c r="AH22" s="3">
        <f t="shared" si="30"/>
        <v>3.4017531849861365E-2</v>
      </c>
      <c r="AI22" s="2"/>
      <c r="AJ22" s="24"/>
      <c r="AK22" s="2"/>
      <c r="AS22" s="16">
        <f t="shared" si="18"/>
        <v>7.6703828653364372</v>
      </c>
      <c r="AT22" s="16"/>
      <c r="AU22" s="20">
        <f t="shared" si="24"/>
        <v>1.0205259554958411E-3</v>
      </c>
      <c r="AX22" s="18">
        <f t="shared" si="25"/>
        <v>7895.6047806396709</v>
      </c>
      <c r="AY22" s="18">
        <f t="shared" si="25"/>
        <v>3018.9077102445804</v>
      </c>
      <c r="AZ22" s="20"/>
      <c r="BA22" s="20">
        <v>0</v>
      </c>
      <c r="BD22" s="4">
        <f t="shared" si="19"/>
        <v>15219.013621699281</v>
      </c>
      <c r="BE22" s="4">
        <f t="shared" si="20"/>
        <v>18262.816346039137</v>
      </c>
      <c r="BF22" s="4">
        <f t="shared" si="31"/>
        <v>76.539446662188084</v>
      </c>
      <c r="BG22" s="4">
        <f t="shared" si="32"/>
        <v>0.23812272294902961</v>
      </c>
      <c r="BH22" s="4">
        <f t="shared" si="26"/>
        <v>33558.607537123557</v>
      </c>
    </row>
    <row r="23" spans="1:60" x14ac:dyDescent="0.75">
      <c r="A23">
        <v>2023</v>
      </c>
      <c r="B23" s="4">
        <f t="shared" si="27"/>
        <v>256.12369313005973</v>
      </c>
      <c r="C23" s="12">
        <f t="shared" si="0"/>
        <v>12.806184656502987</v>
      </c>
      <c r="D23" s="12">
        <f t="shared" si="21"/>
        <v>14.016719524530625</v>
      </c>
      <c r="E23" s="7">
        <f t="shared" si="33"/>
        <v>0.9376704515950709</v>
      </c>
      <c r="F23" s="14">
        <f t="shared" si="2"/>
        <v>6.6896569482899057E-2</v>
      </c>
      <c r="G23" s="3">
        <f t="shared" si="34"/>
        <v>3.5732130540631988</v>
      </c>
      <c r="H23" s="3">
        <f t="shared" si="3"/>
        <v>252.55048007599655</v>
      </c>
      <c r="I23" s="21">
        <f t="shared" si="4"/>
        <v>1.3951122640765295E-2</v>
      </c>
      <c r="J23" s="4">
        <f t="shared" si="5"/>
        <v>2943036.2254075184</v>
      </c>
      <c r="K23" s="3">
        <f t="shared" si="6"/>
        <v>11.846533810486065</v>
      </c>
      <c r="L23" s="4">
        <f t="shared" si="7"/>
        <v>553491.84319883445</v>
      </c>
      <c r="M23" s="4">
        <f t="shared" si="8"/>
        <v>503.17440290803131</v>
      </c>
      <c r="N23" s="7">
        <f t="shared" si="9"/>
        <v>50.31744029080312</v>
      </c>
      <c r="O23" s="7">
        <f t="shared" si="22"/>
        <v>5.6904664021664475</v>
      </c>
      <c r="P23" s="4">
        <f t="shared" si="10"/>
        <v>11616.70007839818</v>
      </c>
      <c r="Q23" s="4">
        <f t="shared" si="11"/>
        <v>18818.722668760369</v>
      </c>
      <c r="R23" s="4">
        <f t="shared" si="12"/>
        <v>5227.4229635445472</v>
      </c>
      <c r="S23" s="3">
        <f t="shared" si="13"/>
        <v>1257.9360072700779</v>
      </c>
      <c r="T23" s="2">
        <f t="shared" si="14"/>
        <v>11.61670007839818</v>
      </c>
      <c r="U23" s="3"/>
      <c r="AC23" s="2">
        <f t="shared" si="16"/>
        <v>5.0284745398970463</v>
      </c>
      <c r="AD23" s="2">
        <f t="shared" si="17"/>
        <v>28.50537102968498</v>
      </c>
      <c r="AF23" s="10">
        <f t="shared" si="28"/>
        <v>6.8035063699722735E-4</v>
      </c>
      <c r="AG23" s="2">
        <f t="shared" si="29"/>
        <v>0.10205259554958411</v>
      </c>
      <c r="AH23" s="3">
        <f t="shared" si="30"/>
        <v>0.13607012739944546</v>
      </c>
      <c r="AI23" s="2"/>
      <c r="AJ23" s="24"/>
      <c r="AK23" s="2"/>
      <c r="AS23" s="16">
        <f t="shared" si="18"/>
        <v>7.6079969719694311</v>
      </c>
      <c r="AT23" s="16"/>
      <c r="AU23" s="20">
        <f t="shared" si="24"/>
        <v>4.0821038219833643E-3</v>
      </c>
      <c r="AX23" s="18">
        <f t="shared" si="25"/>
        <v>7753.4609200743143</v>
      </c>
      <c r="AY23" s="18">
        <f t="shared" si="25"/>
        <v>2964.5585870872378</v>
      </c>
      <c r="AZ23" s="20"/>
      <c r="BA23" s="20">
        <v>0</v>
      </c>
      <c r="BD23" s="4">
        <f t="shared" si="19"/>
        <v>15095.232087240936</v>
      </c>
      <c r="BE23" s="4">
        <f t="shared" si="20"/>
        <v>18114.278504689122</v>
      </c>
      <c r="BF23" s="4">
        <f t="shared" si="31"/>
        <v>306.15778664875234</v>
      </c>
      <c r="BG23" s="4">
        <f t="shared" si="32"/>
        <v>0.95249089179611846</v>
      </c>
      <c r="BH23" s="4">
        <f t="shared" si="26"/>
        <v>33516.6208694706</v>
      </c>
    </row>
    <row r="24" spans="1:60" x14ac:dyDescent="0.75">
      <c r="A24">
        <v>2024</v>
      </c>
      <c r="B24" s="4">
        <f t="shared" si="27"/>
        <v>257.40431159571</v>
      </c>
      <c r="C24" s="12">
        <f t="shared" si="0"/>
        <v>12.870215579785501</v>
      </c>
      <c r="D24" s="12">
        <f t="shared" si="21"/>
        <v>14.086803122153251</v>
      </c>
      <c r="E24" s="7">
        <f t="shared" si="33"/>
        <v>1.3138961630785593</v>
      </c>
      <c r="F24" s="14">
        <f t="shared" si="2"/>
        <v>9.3271422315279906E-2</v>
      </c>
      <c r="G24" s="3">
        <f t="shared" si="34"/>
        <v>4.7084485644385978</v>
      </c>
      <c r="H24" s="3">
        <f t="shared" si="3"/>
        <v>252.69586303127141</v>
      </c>
      <c r="I24" s="21">
        <f t="shared" si="4"/>
        <v>1.8292034563251156E-2</v>
      </c>
      <c r="J24" s="4">
        <f t="shared" si="5"/>
        <v>2957751.4065345558</v>
      </c>
      <c r="K24" s="3">
        <f t="shared" si="6"/>
        <v>11.728068472381205</v>
      </c>
      <c r="L24" s="4">
        <f t="shared" si="7"/>
        <v>548272.36109886947</v>
      </c>
      <c r="M24" s="4">
        <f t="shared" si="8"/>
        <v>498.42941918079038</v>
      </c>
      <c r="N24" s="7">
        <f t="shared" si="9"/>
        <v>49.842941918079134</v>
      </c>
      <c r="O24" s="7">
        <f t="shared" si="22"/>
        <v>5.7473710661881121</v>
      </c>
      <c r="P24" s="4">
        <f t="shared" si="10"/>
        <v>15155.850812306515</v>
      </c>
      <c r="Q24" s="4">
        <f t="shared" si="11"/>
        <v>18641.260277361562</v>
      </c>
      <c r="R24" s="4">
        <f t="shared" si="12"/>
        <v>5178.1278548226555</v>
      </c>
      <c r="S24" s="3">
        <f t="shared" si="13"/>
        <v>1246.0735479519783</v>
      </c>
      <c r="T24" s="2">
        <f t="shared" si="14"/>
        <v>15.155850812306515</v>
      </c>
      <c r="U24" s="3"/>
      <c r="AC24" s="2">
        <f t="shared" si="16"/>
        <v>4.9808064939020396</v>
      </c>
      <c r="AD24" s="2">
        <f t="shared" si="17"/>
        <v>27.955594892398345</v>
      </c>
      <c r="AF24" s="10">
        <f t="shared" si="28"/>
        <v>2.7214025479889094E-3</v>
      </c>
      <c r="AG24" s="2">
        <f t="shared" si="29"/>
        <v>0.40821038219833644</v>
      </c>
      <c r="AH24" s="3">
        <f t="shared" si="30"/>
        <v>0.54428050959778185</v>
      </c>
      <c r="AI24" s="2"/>
      <c r="AJ24" s="24"/>
      <c r="AK24" s="2"/>
      <c r="AS24" s="16">
        <f t="shared" si="18"/>
        <v>7.5362528180135655</v>
      </c>
      <c r="AT24" s="16"/>
      <c r="AU24" s="20">
        <f t="shared" si="24"/>
        <v>1.6328415287933457E-2</v>
      </c>
      <c r="AX24" s="18">
        <f t="shared" si="25"/>
        <v>7603.9218107323495</v>
      </c>
      <c r="AY24" s="18">
        <f t="shared" si="25"/>
        <v>2907.3818688094279</v>
      </c>
      <c r="AZ24" s="20"/>
      <c r="BA24" s="20">
        <v>0</v>
      </c>
      <c r="BD24" s="4">
        <f t="shared" si="19"/>
        <v>14952.88257542374</v>
      </c>
      <c r="BE24" s="4">
        <f t="shared" si="20"/>
        <v>17943.459090508488</v>
      </c>
      <c r="BF24" s="4">
        <f t="shared" si="31"/>
        <v>1224.6311465950093</v>
      </c>
      <c r="BG24" s="4">
        <f t="shared" si="32"/>
        <v>3.8099635671844738</v>
      </c>
      <c r="BH24" s="4">
        <f t="shared" si="26"/>
        <v>34124.78277609442</v>
      </c>
    </row>
    <row r="25" spans="1:60" x14ac:dyDescent="0.75">
      <c r="A25">
        <v>2025</v>
      </c>
      <c r="B25" s="4">
        <f t="shared" si="27"/>
        <v>258.6913331536885</v>
      </c>
      <c r="C25" s="12">
        <f t="shared" si="0"/>
        <v>12.934566657684426</v>
      </c>
      <c r="D25" s="12">
        <f t="shared" si="21"/>
        <v>14.157237137764007</v>
      </c>
      <c r="E25" s="7">
        <f t="shared" si="33"/>
        <v>1.8261754587232215</v>
      </c>
      <c r="F25" s="14">
        <f t="shared" si="2"/>
        <v>0.12899236206561471</v>
      </c>
      <c r="G25" s="3">
        <f t="shared" si="34"/>
        <v>6.2992015949398894</v>
      </c>
      <c r="H25" s="3">
        <f t="shared" si="3"/>
        <v>252.39213155874862</v>
      </c>
      <c r="I25" s="21">
        <f t="shared" si="4"/>
        <v>2.435026144148994E-2</v>
      </c>
      <c r="J25" s="4">
        <f t="shared" si="5"/>
        <v>2972540.1635672282</v>
      </c>
      <c r="K25" s="3">
        <f t="shared" si="6"/>
        <v>11.610787787657392</v>
      </c>
      <c r="L25" s="4">
        <f t="shared" si="7"/>
        <v>542137.22357858019</v>
      </c>
      <c r="M25" s="4">
        <f t="shared" si="8"/>
        <v>492.85202143507286</v>
      </c>
      <c r="N25" s="7">
        <f t="shared" si="9"/>
        <v>49.285202143507377</v>
      </c>
      <c r="O25" s="7">
        <f t="shared" si="22"/>
        <v>5.8048447768499933</v>
      </c>
      <c r="P25" s="4">
        <f t="shared" si="10"/>
        <v>20075.511746866374</v>
      </c>
      <c r="Q25" s="4">
        <f t="shared" si="11"/>
        <v>18432.665601671724</v>
      </c>
      <c r="R25" s="4">
        <f t="shared" si="12"/>
        <v>5120.1848893532569</v>
      </c>
      <c r="S25" s="3">
        <f t="shared" si="13"/>
        <v>1232.1300535876844</v>
      </c>
      <c r="T25" s="2">
        <f t="shared" si="14"/>
        <v>20.075511746866376</v>
      </c>
      <c r="U25" s="3"/>
      <c r="AC25" s="2">
        <f t="shared" si="16"/>
        <v>4.9248253023272026</v>
      </c>
      <c r="AD25" s="2">
        <f t="shared" si="17"/>
        <v>27.367714114716442</v>
      </c>
      <c r="AF25" s="10">
        <f>AF26/4</f>
        <v>1.0885610191955638E-2</v>
      </c>
      <c r="AG25" s="2">
        <f t="shared" ref="AG25:AG50" si="35">(AF25-AF24)/$AF$3*1000</f>
        <v>1.6328415287933458</v>
      </c>
      <c r="AH25" s="3">
        <f t="shared" ref="AH25:AH50" si="36">AF25/$AF$3*1000*$AF$5</f>
        <v>2.1771220383911274</v>
      </c>
      <c r="AI25" s="2">
        <f t="shared" ref="AI25:AI50" si="37">AH25/T25</f>
        <v>0.10844665211241544</v>
      </c>
      <c r="AJ25" s="24"/>
      <c r="AK25" s="2">
        <v>0</v>
      </c>
      <c r="AN25" s="21">
        <f t="shared" ref="AN25:AN50" si="38">-(($AD$24-AD25)*$AN$5*$AN$4/$AN$7)</f>
        <v>-3.0216249761971935E-3</v>
      </c>
      <c r="AO25" s="21">
        <f t="shared" ref="AO25:AO50" si="39">-(($AD$24-AD25)*$AO$5*$AO$4/$AO$7)</f>
        <v>-3.4009631766721664E-3</v>
      </c>
      <c r="AP25" s="21">
        <f t="shared" ref="AP25:AP50" si="40">-(($AD$24-AD25)*$AP$5*$AP$4/$AP$7)</f>
        <v>-1.7909327366518325E-3</v>
      </c>
      <c r="AS25" s="16">
        <f t="shared" si="18"/>
        <v>7.4519225640983153</v>
      </c>
      <c r="AT25" s="16"/>
      <c r="AU25" s="20">
        <f t="shared" si="24"/>
        <v>6.5313661151733829E-2</v>
      </c>
      <c r="AX25" s="18">
        <f t="shared" si="25"/>
        <v>7444.0182392028719</v>
      </c>
      <c r="AY25" s="18">
        <f t="shared" si="25"/>
        <v>2846.24226793051</v>
      </c>
      <c r="AZ25" s="20">
        <f t="shared" ref="AZ25:BB50" si="41">AZ$3*$AF25</f>
        <v>5.4428050959778185</v>
      </c>
      <c r="BA25" s="20">
        <f t="shared" si="41"/>
        <v>10.885610191955637</v>
      </c>
      <c r="BB25" s="20">
        <f t="shared" si="41"/>
        <v>16.328415287933456</v>
      </c>
      <c r="BD25" s="4">
        <f t="shared" si="19"/>
        <v>14785.560643052213</v>
      </c>
      <c r="BE25" s="4">
        <f t="shared" si="20"/>
        <v>17742.672771662656</v>
      </c>
      <c r="BF25" s="4">
        <f t="shared" si="31"/>
        <v>4898.5245863800374</v>
      </c>
      <c r="BG25" s="4">
        <f t="shared" si="32"/>
        <v>15.239854268737895</v>
      </c>
      <c r="BH25" s="4">
        <f t="shared" si="26"/>
        <v>37441.997855363639</v>
      </c>
    </row>
    <row r="26" spans="1:60" x14ac:dyDescent="0.75">
      <c r="A26">
        <v>2026</v>
      </c>
      <c r="B26" s="4">
        <f t="shared" si="27"/>
        <v>259.98478981945692</v>
      </c>
      <c r="C26" s="12">
        <f t="shared" si="0"/>
        <v>12.999239490972847</v>
      </c>
      <c r="D26" s="12">
        <f t="shared" si="21"/>
        <v>14.228023323452843</v>
      </c>
      <c r="E26" s="7">
        <f t="shared" si="33"/>
        <v>2.5101389510084116</v>
      </c>
      <c r="F26" s="14">
        <f t="shared" si="2"/>
        <v>0.17642218416038224</v>
      </c>
      <c r="G26" s="3">
        <f t="shared" si="34"/>
        <v>8.4943804662013065</v>
      </c>
      <c r="H26" s="3">
        <f t="shared" si="3"/>
        <v>251.49040935325561</v>
      </c>
      <c r="I26" s="21">
        <f t="shared" si="4"/>
        <v>3.2672605470882042E-2</v>
      </c>
      <c r="J26" s="4">
        <f t="shared" si="5"/>
        <v>2987402.8643850642</v>
      </c>
      <c r="K26" s="3">
        <f t="shared" si="6"/>
        <v>11.494679909780817</v>
      </c>
      <c r="L26" s="4">
        <f t="shared" si="7"/>
        <v>534798.32484065299</v>
      </c>
      <c r="M26" s="4">
        <f t="shared" si="8"/>
        <v>486.18029530968448</v>
      </c>
      <c r="N26" s="7">
        <f t="shared" si="9"/>
        <v>48.618029530968499</v>
      </c>
      <c r="O26" s="7">
        <f t="shared" si="22"/>
        <v>5.8628932246184933</v>
      </c>
      <c r="P26" s="4">
        <f t="shared" si="10"/>
        <v>26803.496602131941</v>
      </c>
      <c r="Q26" s="4">
        <f t="shared" si="11"/>
        <v>18183.143044582204</v>
      </c>
      <c r="R26" s="4">
        <f t="shared" si="12"/>
        <v>5050.8730679395012</v>
      </c>
      <c r="S26" s="3">
        <f t="shared" si="13"/>
        <v>1215.4507382742124</v>
      </c>
      <c r="T26" s="2">
        <f t="shared" si="14"/>
        <v>26.80349660213194</v>
      </c>
      <c r="U26" s="3"/>
      <c r="AC26" s="2">
        <f t="shared" si="16"/>
        <v>4.8579151632515822</v>
      </c>
      <c r="AD26" s="2">
        <f t="shared" si="17"/>
        <v>26.728602201389766</v>
      </c>
      <c r="AF26" s="2">
        <f t="shared" ref="AF26:AF50" si="42">(AVERAGE($AD$24:$AD$26)-AD26)*$AF$7</f>
        <v>4.354244076782255E-2</v>
      </c>
      <c r="AG26" s="2">
        <f t="shared" si="35"/>
        <v>6.5313661151733831</v>
      </c>
      <c r="AH26" s="3">
        <f t="shared" si="36"/>
        <v>8.7084881535645096</v>
      </c>
      <c r="AI26" s="2">
        <f t="shared" si="37"/>
        <v>0.32490119788594446</v>
      </c>
      <c r="AJ26" s="24"/>
      <c r="AK26" s="2">
        <f t="shared" ref="AK26:AK50" si="43">-IF((AVERAGE($AD$24:$AD$26)-AD26)&lt;$AK$7,(AVERAGE($AC$24:$AC$26)-AC26)*$AK$5,$AK$7*$AK$5*$AC$7/1000)</f>
        <v>-0.59787462963713911</v>
      </c>
      <c r="AN26" s="21">
        <f t="shared" si="38"/>
        <v>-6.3065708244147258E-3</v>
      </c>
      <c r="AO26" s="21">
        <f t="shared" si="39"/>
        <v>-7.0983048240165743E-3</v>
      </c>
      <c r="AP26" s="21">
        <f t="shared" si="40"/>
        <v>-3.7379371147746856E-3</v>
      </c>
      <c r="AS26" s="16">
        <f t="shared" si="18"/>
        <v>7.3510460650824365</v>
      </c>
      <c r="AT26" s="16"/>
      <c r="AU26" s="20">
        <f t="shared" si="24"/>
        <v>0.26125464460693532</v>
      </c>
      <c r="AX26" s="18">
        <f t="shared" si="25"/>
        <v>7270.1797987780164</v>
      </c>
      <c r="AY26" s="18">
        <f t="shared" si="25"/>
        <v>2779.7746289445358</v>
      </c>
      <c r="AZ26" s="20">
        <f t="shared" si="41"/>
        <v>21.771220383911274</v>
      </c>
      <c r="BA26" s="20">
        <f t="shared" si="41"/>
        <v>43.542440767822548</v>
      </c>
      <c r="BB26" s="20">
        <f t="shared" si="41"/>
        <v>65.313661151733825</v>
      </c>
      <c r="BD26" s="4">
        <f t="shared" si="19"/>
        <v>14585.40885929055</v>
      </c>
      <c r="BE26" s="4">
        <f t="shared" si="20"/>
        <v>17502.490631148659</v>
      </c>
      <c r="BF26" s="4">
        <f t="shared" si="31"/>
        <v>19594.098345520149</v>
      </c>
      <c r="BG26" s="4">
        <f t="shared" si="32"/>
        <v>60.959417074951581</v>
      </c>
      <c r="BH26" s="4">
        <f t="shared" si="26"/>
        <v>51742.957253034314</v>
      </c>
    </row>
    <row r="27" spans="1:60" x14ac:dyDescent="0.75">
      <c r="A27">
        <v>2027</v>
      </c>
      <c r="B27" s="4">
        <f t="shared" si="27"/>
        <v>261.28471376855418</v>
      </c>
      <c r="C27" s="12">
        <f t="shared" si="0"/>
        <v>13.06423568842771</v>
      </c>
      <c r="D27" s="12">
        <f t="shared" si="21"/>
        <v>14.29916344007011</v>
      </c>
      <c r="E27" s="7">
        <f t="shared" si="33"/>
        <v>3.399075695540358</v>
      </c>
      <c r="F27" s="14">
        <f t="shared" si="2"/>
        <v>0.23771150737498614</v>
      </c>
      <c r="G27" s="3">
        <f t="shared" si="34"/>
        <v>11.468737138431598</v>
      </c>
      <c r="H27" s="3">
        <f t="shared" si="3"/>
        <v>249.81597663012258</v>
      </c>
      <c r="I27" s="21">
        <f t="shared" si="4"/>
        <v>4.3893639903444935E-2</v>
      </c>
      <c r="J27" s="4">
        <f t="shared" si="5"/>
        <v>3002339.8787069889</v>
      </c>
      <c r="K27" s="3">
        <f t="shared" si="6"/>
        <v>11.379733110683009</v>
      </c>
      <c r="L27" s="4">
        <f t="shared" si="7"/>
        <v>525925.24105455249</v>
      </c>
      <c r="M27" s="4">
        <f t="shared" si="8"/>
        <v>478.11385550413854</v>
      </c>
      <c r="N27" s="7">
        <f t="shared" si="9"/>
        <v>47.811385550414002</v>
      </c>
      <c r="O27" s="7">
        <f t="shared" si="22"/>
        <v>5.9215221568646781</v>
      </c>
      <c r="P27" s="4">
        <f t="shared" si="10"/>
        <v>35830.590756976075</v>
      </c>
      <c r="Q27" s="4">
        <f t="shared" si="11"/>
        <v>17881.458195854782</v>
      </c>
      <c r="R27" s="4">
        <f t="shared" si="12"/>
        <v>4967.0717210707726</v>
      </c>
      <c r="S27" s="3">
        <f t="shared" si="13"/>
        <v>1195.2846387603499</v>
      </c>
      <c r="T27" s="2">
        <f t="shared" si="14"/>
        <v>35.830590756976072</v>
      </c>
      <c r="U27" s="3"/>
      <c r="AC27" s="2">
        <f t="shared" si="16"/>
        <v>4.7770764154761336</v>
      </c>
      <c r="AD27" s="2">
        <f t="shared" si="17"/>
        <v>26.023585680628415</v>
      </c>
      <c r="AF27" s="2">
        <f t="shared" si="42"/>
        <v>9.2893597221117133E-2</v>
      </c>
      <c r="AG27" s="2">
        <f t="shared" si="35"/>
        <v>9.8702312906589178</v>
      </c>
      <c r="AH27" s="3">
        <f t="shared" si="36"/>
        <v>18.578719444223427</v>
      </c>
      <c r="AI27" s="2">
        <f t="shared" si="37"/>
        <v>0.51851557710100626</v>
      </c>
      <c r="AJ27" s="24"/>
      <c r="AK27" s="2">
        <f t="shared" si="43"/>
        <v>-1.3618007961151286</v>
      </c>
      <c r="AN27" s="21">
        <f t="shared" si="38"/>
        <v>-9.930257137418871E-3</v>
      </c>
      <c r="AO27" s="21">
        <f t="shared" si="39"/>
        <v>-1.1176912795363234E-2</v>
      </c>
      <c r="AP27" s="21">
        <f t="shared" si="40"/>
        <v>-5.8857147167072346E-3</v>
      </c>
      <c r="AS27" s="16">
        <f t="shared" si="18"/>
        <v>7.229081495222597</v>
      </c>
      <c r="AT27" s="16"/>
      <c r="AU27" s="20">
        <f t="shared" si="24"/>
        <v>0.55736158332670271</v>
      </c>
      <c r="AX27" s="18">
        <f t="shared" si="25"/>
        <v>7078.4153051309286</v>
      </c>
      <c r="AY27" s="18">
        <f t="shared" si="25"/>
        <v>2706.452910785355</v>
      </c>
      <c r="AZ27" s="20">
        <f t="shared" si="41"/>
        <v>46.446798610558567</v>
      </c>
      <c r="BA27" s="20">
        <f t="shared" si="41"/>
        <v>92.893597221117133</v>
      </c>
      <c r="BB27" s="20">
        <f t="shared" si="41"/>
        <v>139.34039583167569</v>
      </c>
      <c r="BD27" s="4">
        <f t="shared" si="19"/>
        <v>14343.415665124201</v>
      </c>
      <c r="BE27" s="4">
        <f t="shared" si="20"/>
        <v>17212.09879814904</v>
      </c>
      <c r="BF27" s="4">
        <f t="shared" si="31"/>
        <v>29610.693871976753</v>
      </c>
      <c r="BG27" s="4">
        <f t="shared" si="32"/>
        <v>130.051036109564</v>
      </c>
      <c r="BH27" s="4">
        <f t="shared" si="26"/>
        <v>61296.259371359556</v>
      </c>
    </row>
    <row r="28" spans="1:60" x14ac:dyDescent="0.75">
      <c r="A28">
        <v>2028</v>
      </c>
      <c r="B28" s="4">
        <f t="shared" si="27"/>
        <v>262.5911373373969</v>
      </c>
      <c r="C28" s="12">
        <f t="shared" si="0"/>
        <v>13.129556866869846</v>
      </c>
      <c r="D28" s="12">
        <f t="shared" si="21"/>
        <v>14.370659257270427</v>
      </c>
      <c r="E28" s="7">
        <f t="shared" si="33"/>
        <v>4.5132384994972234</v>
      </c>
      <c r="F28" s="14">
        <f t="shared" si="2"/>
        <v>0.31405925216784181</v>
      </c>
      <c r="G28" s="3">
        <f t="shared" si="34"/>
        <v>15.408538781007241</v>
      </c>
      <c r="H28" s="3">
        <f t="shared" si="3"/>
        <v>247.18259855638965</v>
      </c>
      <c r="I28" s="21">
        <f t="shared" si="4"/>
        <v>5.867882266418302E-2</v>
      </c>
      <c r="J28" s="4">
        <f t="shared" si="5"/>
        <v>3017351.578100523</v>
      </c>
      <c r="K28" s="3">
        <f t="shared" si="6"/>
        <v>11.26593577957618</v>
      </c>
      <c r="L28" s="4">
        <f t="shared" si="7"/>
        <v>515177.5070155334</v>
      </c>
      <c r="M28" s="4">
        <f t="shared" si="8"/>
        <v>468.34318819593943</v>
      </c>
      <c r="N28" s="7">
        <f t="shared" si="9"/>
        <v>46.834318819593932</v>
      </c>
      <c r="O28" s="7">
        <f t="shared" si="22"/>
        <v>5.9807373784333251</v>
      </c>
      <c r="P28" s="4">
        <f t="shared" si="10"/>
        <v>47662.679267034779</v>
      </c>
      <c r="Q28" s="4">
        <f t="shared" si="11"/>
        <v>17516.035238528137</v>
      </c>
      <c r="R28" s="4">
        <f t="shared" si="12"/>
        <v>4865.5653440355936</v>
      </c>
      <c r="S28" s="3">
        <f t="shared" si="13"/>
        <v>1170.8579704898484</v>
      </c>
      <c r="T28" s="2">
        <f t="shared" si="14"/>
        <v>47.662679267034775</v>
      </c>
      <c r="U28" s="3"/>
      <c r="AC28" s="2">
        <f t="shared" si="16"/>
        <v>4.6792187947655375</v>
      </c>
      <c r="AD28" s="2">
        <f t="shared" si="17"/>
        <v>25.238115672982474</v>
      </c>
      <c r="AF28" s="2">
        <f t="shared" si="42"/>
        <v>0.14787649775633299</v>
      </c>
      <c r="AG28" s="2">
        <f t="shared" si="35"/>
        <v>10.996580107043172</v>
      </c>
      <c r="AH28" s="3">
        <f t="shared" si="36"/>
        <v>29.575299551266596</v>
      </c>
      <c r="AI28" s="2">
        <f t="shared" si="37"/>
        <v>0.62051273671729856</v>
      </c>
      <c r="AJ28" s="24"/>
      <c r="AK28" s="2">
        <f t="shared" si="43"/>
        <v>-2.2865553118302619</v>
      </c>
      <c r="AN28" s="21">
        <f t="shared" si="38"/>
        <v>-1.3967463120773882E-2</v>
      </c>
      <c r="AO28" s="21">
        <f t="shared" si="39"/>
        <v>-1.5720954161909998E-2</v>
      </c>
      <c r="AP28" s="21">
        <f t="shared" si="40"/>
        <v>-8.278587563984521E-3</v>
      </c>
      <c r="AS28" s="16">
        <f t="shared" si="18"/>
        <v>7.0813490055226023</v>
      </c>
      <c r="AT28" s="16"/>
      <c r="AU28" s="20">
        <f t="shared" si="24"/>
        <v>0.88725898653799784</v>
      </c>
      <c r="AX28" s="18">
        <f t="shared" si="25"/>
        <v>6864.7674630512329</v>
      </c>
      <c r="AY28" s="18">
        <f t="shared" si="25"/>
        <v>2624.7640299901773</v>
      </c>
      <c r="AZ28" s="20">
        <f t="shared" si="41"/>
        <v>73.93824887816649</v>
      </c>
      <c r="BA28" s="20">
        <f t="shared" si="41"/>
        <v>147.87649775633298</v>
      </c>
      <c r="BB28" s="20">
        <f t="shared" si="41"/>
        <v>221.8147466344995</v>
      </c>
      <c r="BD28" s="4">
        <f t="shared" si="19"/>
        <v>14050.295645878179</v>
      </c>
      <c r="BE28" s="4">
        <f t="shared" si="20"/>
        <v>16860.354775053816</v>
      </c>
      <c r="BF28" s="4">
        <f t="shared" si="31"/>
        <v>32989.740321129517</v>
      </c>
      <c r="BG28" s="4">
        <f t="shared" si="32"/>
        <v>207.0270968588662</v>
      </c>
      <c r="BH28" s="4">
        <f t="shared" si="26"/>
        <v>64107.417838920381</v>
      </c>
    </row>
    <row r="29" spans="1:60" x14ac:dyDescent="0.75">
      <c r="A29">
        <v>2029</v>
      </c>
      <c r="B29" s="4">
        <f t="shared" si="27"/>
        <v>263.90409302408386</v>
      </c>
      <c r="C29" s="12">
        <f t="shared" si="0"/>
        <v>13.195204651204193</v>
      </c>
      <c r="D29" s="12">
        <f t="shared" si="21"/>
        <v>14.442512553556808</v>
      </c>
      <c r="E29" s="7">
        <f t="shared" si="33"/>
        <v>5.8444386018379291</v>
      </c>
      <c r="F29" s="14">
        <f t="shared" si="2"/>
        <v>0.40466910311935983</v>
      </c>
      <c r="G29" s="3">
        <f t="shared" si="34"/>
        <v>20.482550443794807</v>
      </c>
      <c r="H29" s="3">
        <f t="shared" si="3"/>
        <v>243.42154258028904</v>
      </c>
      <c r="I29" s="21">
        <f t="shared" si="4"/>
        <v>7.7613614131879227E-2</v>
      </c>
      <c r="J29" s="4">
        <f t="shared" si="5"/>
        <v>3032438.3359910254</v>
      </c>
      <c r="K29" s="3">
        <f t="shared" si="6"/>
        <v>11.153276421780417</v>
      </c>
      <c r="L29" s="4">
        <f t="shared" si="7"/>
        <v>502265.3340116188</v>
      </c>
      <c r="M29" s="4">
        <f t="shared" si="8"/>
        <v>456.60484910147159</v>
      </c>
      <c r="N29" s="7">
        <f t="shared" si="9"/>
        <v>45.660484910147204</v>
      </c>
      <c r="O29" s="7">
        <f t="shared" si="22"/>
        <v>6.0405447522176585</v>
      </c>
      <c r="P29" s="4">
        <f t="shared" si="10"/>
        <v>62730.630887402796</v>
      </c>
      <c r="Q29" s="4">
        <f t="shared" si="11"/>
        <v>17077.021356395038</v>
      </c>
      <c r="R29" s="4">
        <f t="shared" si="12"/>
        <v>4743.617043443066</v>
      </c>
      <c r="S29" s="3">
        <f t="shared" si="13"/>
        <v>1141.5121227536802</v>
      </c>
      <c r="T29" s="2">
        <f t="shared" si="14"/>
        <v>62.730630887402796</v>
      </c>
      <c r="U29" s="3"/>
      <c r="AC29" s="2">
        <f t="shared" si="16"/>
        <v>4.5617129130623839</v>
      </c>
      <c r="AD29" s="2">
        <f t="shared" si="17"/>
        <v>24.360721671601148</v>
      </c>
      <c r="AF29" s="2">
        <f t="shared" si="42"/>
        <v>0.20929407785302581</v>
      </c>
      <c r="AG29" s="2">
        <f t="shared" si="35"/>
        <v>12.283516019338563</v>
      </c>
      <c r="AH29" s="3">
        <f t="shared" si="36"/>
        <v>41.858815570605159</v>
      </c>
      <c r="AI29" s="2">
        <f t="shared" si="37"/>
        <v>0.66727872776760178</v>
      </c>
      <c r="AJ29" s="24"/>
      <c r="AK29" s="2">
        <f t="shared" si="43"/>
        <v>-3.3969858939250632</v>
      </c>
      <c r="AN29" s="21">
        <f t="shared" si="38"/>
        <v>-1.8477145575426152E-2</v>
      </c>
      <c r="AO29" s="21">
        <f t="shared" si="39"/>
        <v>-2.079678722775238E-2</v>
      </c>
      <c r="AP29" s="21">
        <f t="shared" si="40"/>
        <v>-1.0951499657167477E-2</v>
      </c>
      <c r="AS29" s="16">
        <f t="shared" si="18"/>
        <v>6.9038653184142564</v>
      </c>
      <c r="AT29" s="16"/>
      <c r="AU29" s="20">
        <f t="shared" si="24"/>
        <v>1.2557644671181547</v>
      </c>
      <c r="AX29" s="18">
        <f t="shared" si="25"/>
        <v>6626.1162946755121</v>
      </c>
      <c r="AY29" s="18">
        <f t="shared" si="25"/>
        <v>2533.5150538465195</v>
      </c>
      <c r="AZ29" s="20">
        <f t="shared" si="41"/>
        <v>104.64703892651291</v>
      </c>
      <c r="BA29" s="20">
        <f t="shared" si="41"/>
        <v>209.29407785302581</v>
      </c>
      <c r="BB29" s="20">
        <f t="shared" si="41"/>
        <v>313.94111677953873</v>
      </c>
      <c r="BD29" s="4">
        <f t="shared" si="19"/>
        <v>13698.145473044162</v>
      </c>
      <c r="BE29" s="4">
        <f t="shared" si="20"/>
        <v>16437.774567652992</v>
      </c>
      <c r="BF29" s="4">
        <f t="shared" si="31"/>
        <v>36850.548058015687</v>
      </c>
      <c r="BG29" s="4">
        <f t="shared" si="32"/>
        <v>293.01170899423619</v>
      </c>
      <c r="BH29" s="4">
        <f t="shared" si="26"/>
        <v>67279.479807707074</v>
      </c>
    </row>
    <row r="30" spans="1:60" x14ac:dyDescent="0.75">
      <c r="A30">
        <v>2030</v>
      </c>
      <c r="B30" s="4">
        <f t="shared" si="27"/>
        <v>265.22361348920424</v>
      </c>
      <c r="C30" s="12">
        <f t="shared" si="0"/>
        <v>13.261180674460213</v>
      </c>
      <c r="D30" s="12">
        <f t="shared" si="21"/>
        <v>14.51472511632457</v>
      </c>
      <c r="E30" s="7">
        <f t="shared" si="33"/>
        <v>7.3405697979142133</v>
      </c>
      <c r="F30" s="14">
        <f>E30/D30</f>
        <v>0.50573260871873804</v>
      </c>
      <c r="G30" s="3">
        <f t="shared" si="34"/>
        <v>26.79899271951928</v>
      </c>
      <c r="H30" s="3">
        <f t="shared" si="3"/>
        <v>238.42462076968496</v>
      </c>
      <c r="I30" s="21">
        <f t="shared" si="4"/>
        <v>0.10104301184558787</v>
      </c>
      <c r="J30" s="4">
        <f t="shared" si="5"/>
        <v>3047600.5276709804</v>
      </c>
      <c r="K30" s="3">
        <f t="shared" si="6"/>
        <v>11.041743657562614</v>
      </c>
      <c r="L30" s="4">
        <f t="shared" si="7"/>
        <v>487035.35567523149</v>
      </c>
      <c r="M30" s="4">
        <f t="shared" si="8"/>
        <v>442.7594142502104</v>
      </c>
      <c r="N30" s="7">
        <f t="shared" si="9"/>
        <v>44.275941425021074</v>
      </c>
      <c r="O30" s="7">
        <f t="shared" si="22"/>
        <v>6.1009501997398354</v>
      </c>
      <c r="P30" s="4">
        <f t="shared" si="10"/>
        <v>81262.975287398425</v>
      </c>
      <c r="Q30" s="4">
        <f t="shared" si="11"/>
        <v>16559.202092957872</v>
      </c>
      <c r="R30" s="4">
        <f t="shared" si="12"/>
        <v>4599.7783591549642</v>
      </c>
      <c r="S30" s="3">
        <f t="shared" si="13"/>
        <v>1106.8985356255268</v>
      </c>
      <c r="T30" s="2">
        <f t="shared" si="14"/>
        <v>81.262975287398419</v>
      </c>
      <c r="U30" s="3"/>
      <c r="AC30" s="2">
        <f t="shared" si="16"/>
        <v>4.423168871994454</v>
      </c>
      <c r="AD30" s="2">
        <f t="shared" si="17"/>
        <v>23.386990905878111</v>
      </c>
      <c r="AF30" s="2">
        <f t="shared" si="42"/>
        <v>0.27745523145363837</v>
      </c>
      <c r="AG30" s="2">
        <f t="shared" si="35"/>
        <v>13.632230720122513</v>
      </c>
      <c r="AH30" s="3">
        <f t="shared" si="36"/>
        <v>55.491046290727674</v>
      </c>
      <c r="AI30" s="2">
        <f t="shared" si="37"/>
        <v>0.68285767404498121</v>
      </c>
      <c r="AJ30" s="24"/>
      <c r="AK30" s="2">
        <f t="shared" si="43"/>
        <v>-4.7062270820170014</v>
      </c>
      <c r="AN30" s="21">
        <f t="shared" si="38"/>
        <v>-2.3481985525121474E-2</v>
      </c>
      <c r="AO30" s="21">
        <f t="shared" si="39"/>
        <v>-2.6429940417885652E-2</v>
      </c>
      <c r="AP30" s="21">
        <f t="shared" si="40"/>
        <v>-1.3917894156227019E-2</v>
      </c>
      <c r="AS30" s="16">
        <f t="shared" si="18"/>
        <v>6.694522343463186</v>
      </c>
      <c r="AT30" s="16"/>
      <c r="AU30" s="20">
        <f t="shared" si="24"/>
        <v>1.66473138872183</v>
      </c>
      <c r="AX30" s="18">
        <f t="shared" si="25"/>
        <v>6361.2615263988464</v>
      </c>
      <c r="AY30" s="18">
        <f t="shared" si="25"/>
        <v>2432.2470542113238</v>
      </c>
      <c r="AZ30" s="20">
        <f t="shared" si="41"/>
        <v>138.72761572681918</v>
      </c>
      <c r="BA30" s="20">
        <f t="shared" si="41"/>
        <v>277.45523145363836</v>
      </c>
      <c r="BB30" s="20">
        <f t="shared" si="41"/>
        <v>416.18284718045754</v>
      </c>
      <c r="BD30" s="4">
        <f t="shared" si="19"/>
        <v>13282.782427506321</v>
      </c>
      <c r="BE30" s="4">
        <f t="shared" si="20"/>
        <v>15939.338913007587</v>
      </c>
      <c r="BF30" s="4">
        <f t="shared" si="31"/>
        <v>40896.692160367536</v>
      </c>
      <c r="BG30" s="4">
        <f t="shared" si="32"/>
        <v>388.43732403509381</v>
      </c>
      <c r="BH30" s="4">
        <f t="shared" si="26"/>
        <v>70507.25082491654</v>
      </c>
    </row>
    <row r="31" spans="1:60" x14ac:dyDescent="0.75">
      <c r="A31">
        <v>2031</v>
      </c>
      <c r="B31" s="4">
        <f t="shared" si="27"/>
        <v>266.54973155665022</v>
      </c>
      <c r="C31" s="12">
        <f t="shared" si="0"/>
        <v>13.327486577832511</v>
      </c>
      <c r="D31" s="12">
        <f t="shared" si="21"/>
        <v>14.587298741906189</v>
      </c>
      <c r="E31" s="7">
        <f t="shared" si="33"/>
        <v>8.9006976402634379</v>
      </c>
      <c r="F31" s="14">
        <f t="shared" si="2"/>
        <v>0.61016763951598785</v>
      </c>
      <c r="G31" s="3">
        <f t="shared" si="34"/>
        <v>34.359740723806752</v>
      </c>
      <c r="H31" s="3">
        <f t="shared" si="3"/>
        <v>232.18999083284348</v>
      </c>
      <c r="I31" s="21">
        <f t="shared" si="4"/>
        <v>0.12890555365839573</v>
      </c>
      <c r="J31" s="4">
        <f t="shared" si="5"/>
        <v>3062838.5303093344</v>
      </c>
      <c r="K31" s="3">
        <f t="shared" si="6"/>
        <v>10.931326220986987</v>
      </c>
      <c r="L31" s="4">
        <f t="shared" si="7"/>
        <v>469556.73898273119</v>
      </c>
      <c r="M31" s="4">
        <f t="shared" si="8"/>
        <v>426.86976271157374</v>
      </c>
      <c r="N31" s="7">
        <f t="shared" si="9"/>
        <v>42.686976271157448</v>
      </c>
      <c r="O31" s="7">
        <f t="shared" si="22"/>
        <v>6.1619597017372341</v>
      </c>
      <c r="P31" s="4">
        <f t="shared" si="10"/>
        <v>103157.96177816862</v>
      </c>
      <c r="Q31" s="4">
        <f t="shared" si="11"/>
        <v>15964.92912541286</v>
      </c>
      <c r="R31" s="4">
        <f t="shared" si="12"/>
        <v>4434.7025348369052</v>
      </c>
      <c r="S31" s="3">
        <f t="shared" si="13"/>
        <v>1067.1744067789361</v>
      </c>
      <c r="T31" s="2">
        <f t="shared" si="14"/>
        <v>103.15796177816863</v>
      </c>
      <c r="U31" s="3"/>
      <c r="AC31" s="2">
        <f t="shared" si="16"/>
        <v>4.2642179588354443</v>
      </c>
      <c r="AD31" s="2">
        <f t="shared" si="17"/>
        <v>22.323323209687494</v>
      </c>
      <c r="AF31" s="2">
        <f t="shared" si="42"/>
        <v>0.35191197018698156</v>
      </c>
      <c r="AG31" s="2">
        <f t="shared" si="35"/>
        <v>14.891347746668638</v>
      </c>
      <c r="AH31" s="3">
        <f t="shared" si="36"/>
        <v>70.38239403739631</v>
      </c>
      <c r="AI31" s="2">
        <f t="shared" si="37"/>
        <v>0.68227786614034647</v>
      </c>
      <c r="AJ31" s="24"/>
      <c r="AK31" s="2">
        <f t="shared" si="43"/>
        <v>-6.2083132113696422</v>
      </c>
      <c r="AN31" s="21">
        <f t="shared" si="38"/>
        <v>-2.8949088718828495E-2</v>
      </c>
      <c r="AO31" s="21">
        <f t="shared" si="39"/>
        <v>-3.2583389899980129E-2</v>
      </c>
      <c r="AP31" s="21">
        <f t="shared" si="40"/>
        <v>-1.7158274468606557E-2</v>
      </c>
      <c r="AS31" s="16">
        <f t="shared" si="18"/>
        <v>6.454270812199006</v>
      </c>
      <c r="AT31" s="16"/>
      <c r="AU31" s="20">
        <f t="shared" si="24"/>
        <v>2.111471821121889</v>
      </c>
      <c r="AX31" s="18">
        <f t="shared" si="25"/>
        <v>6071.9439130349983</v>
      </c>
      <c r="AY31" s="18">
        <f t="shared" si="25"/>
        <v>2321.6256138074996</v>
      </c>
      <c r="AZ31" s="20">
        <f t="shared" si="41"/>
        <v>175.95598509349077</v>
      </c>
      <c r="BA31" s="20">
        <f t="shared" si="41"/>
        <v>351.91197018698153</v>
      </c>
      <c r="BB31" s="20">
        <f t="shared" si="41"/>
        <v>527.8679552804723</v>
      </c>
      <c r="BD31" s="4">
        <f t="shared" si="19"/>
        <v>12806.092881347235</v>
      </c>
      <c r="BE31" s="4">
        <f t="shared" si="20"/>
        <v>15367.311457616681</v>
      </c>
      <c r="BF31" s="4">
        <f t="shared" si="31"/>
        <v>44674.043240005914</v>
      </c>
      <c r="BG31" s="4">
        <f t="shared" si="32"/>
        <v>492.6767582617743</v>
      </c>
      <c r="BH31" s="4">
        <f t="shared" si="26"/>
        <v>73340.124337231609</v>
      </c>
    </row>
    <row r="32" spans="1:60" x14ac:dyDescent="0.75">
      <c r="A32">
        <v>2032</v>
      </c>
      <c r="B32" s="4">
        <f t="shared" si="27"/>
        <v>267.88248021443343</v>
      </c>
      <c r="C32" s="12">
        <f t="shared" si="0"/>
        <v>13.394124010721672</v>
      </c>
      <c r="D32" s="12">
        <f t="shared" si="21"/>
        <v>14.660235235615724</v>
      </c>
      <c r="E32" s="7">
        <f t="shared" si="33"/>
        <v>10.392703027818538</v>
      </c>
      <c r="F32" s="14">
        <f t="shared" si="2"/>
        <v>0.70890424749600189</v>
      </c>
      <c r="G32" s="3">
        <f t="shared" si="34"/>
        <v>43.034456715434956</v>
      </c>
      <c r="H32" s="3">
        <f t="shared" si="3"/>
        <v>224.84802349899849</v>
      </c>
      <c r="I32" s="21">
        <f t="shared" si="4"/>
        <v>0.16064677570920993</v>
      </c>
      <c r="J32" s="4">
        <f t="shared" si="5"/>
        <v>3078152.722960881</v>
      </c>
      <c r="K32" s="3">
        <f t="shared" si="6"/>
        <v>10.822012958777115</v>
      </c>
      <c r="L32" s="4">
        <f t="shared" si="7"/>
        <v>450162.02145139285</v>
      </c>
      <c r="M32" s="4">
        <f t="shared" si="8"/>
        <v>409.23820131944802</v>
      </c>
      <c r="N32" s="7">
        <f t="shared" si="9"/>
        <v>40.923820131944808</v>
      </c>
      <c r="O32" s="7">
        <f t="shared" si="22"/>
        <v>6.2235792987546068</v>
      </c>
      <c r="P32" s="4">
        <f t="shared" si="10"/>
        <v>127922.76132720936</v>
      </c>
      <c r="Q32" s="4">
        <f t="shared" si="11"/>
        <v>15305.508729347357</v>
      </c>
      <c r="R32" s="4">
        <f t="shared" si="12"/>
        <v>4251.5302025964884</v>
      </c>
      <c r="S32" s="3">
        <f t="shared" si="13"/>
        <v>1023.0955032986202</v>
      </c>
      <c r="T32" s="2">
        <f t="shared" si="14"/>
        <v>127.92276132720936</v>
      </c>
      <c r="U32" s="3"/>
      <c r="AC32" s="2">
        <f t="shared" si="16"/>
        <v>4.0878829803765324</v>
      </c>
      <c r="AD32" s="2">
        <f t="shared" si="17"/>
        <v>21.188320512242818</v>
      </c>
      <c r="AF32" s="2">
        <f t="shared" si="42"/>
        <v>0.43136215900810893</v>
      </c>
      <c r="AG32" s="2">
        <f t="shared" si="35"/>
        <v>15.890037764225474</v>
      </c>
      <c r="AH32" s="3">
        <f t="shared" si="36"/>
        <v>86.272431801621778</v>
      </c>
      <c r="AI32" s="2">
        <f t="shared" si="37"/>
        <v>0.67441033094140612</v>
      </c>
      <c r="AJ32" s="24"/>
      <c r="AK32" s="2">
        <f t="shared" si="43"/>
        <v>-7.8746787578063593</v>
      </c>
      <c r="AN32" s="21">
        <f t="shared" si="38"/>
        <v>-3.4782843842058125E-2</v>
      </c>
      <c r="AO32" s="21">
        <f t="shared" si="39"/>
        <v>-3.914952120751132E-2</v>
      </c>
      <c r="AP32" s="21">
        <f t="shared" si="40"/>
        <v>-2.0615971274168192E-2</v>
      </c>
      <c r="AS32" s="16">
        <f t="shared" si="18"/>
        <v>6.1876816039500548</v>
      </c>
      <c r="AT32" s="16"/>
      <c r="AU32" s="20">
        <f t="shared" si="24"/>
        <v>2.5881729540486536</v>
      </c>
      <c r="AX32" s="18">
        <f t="shared" si="25"/>
        <v>5763.2231793300462</v>
      </c>
      <c r="AY32" s="18">
        <f t="shared" si="25"/>
        <v>2203.5853332732531</v>
      </c>
      <c r="AZ32" s="20">
        <f t="shared" si="41"/>
        <v>215.68107950405445</v>
      </c>
      <c r="BA32" s="20">
        <f t="shared" si="41"/>
        <v>431.3621590081089</v>
      </c>
      <c r="BB32" s="20">
        <f t="shared" si="41"/>
        <v>647.04323851216338</v>
      </c>
      <c r="BD32" s="4">
        <f t="shared" si="19"/>
        <v>12277.146039583442</v>
      </c>
      <c r="BE32" s="4">
        <f t="shared" si="20"/>
        <v>14732.575247500132</v>
      </c>
      <c r="BF32" s="4">
        <f t="shared" si="31"/>
        <v>47670.113292676418</v>
      </c>
      <c r="BG32" s="4">
        <f t="shared" si="32"/>
        <v>603.90702261135255</v>
      </c>
      <c r="BH32" s="4">
        <f t="shared" si="26"/>
        <v>75283.741602371345</v>
      </c>
    </row>
    <row r="33" spans="1:60" x14ac:dyDescent="0.75">
      <c r="A33">
        <v>2033</v>
      </c>
      <c r="B33" s="4">
        <f t="shared" si="27"/>
        <v>269.22189261550557</v>
      </c>
      <c r="C33" s="12">
        <f t="shared" si="0"/>
        <v>13.461094630775278</v>
      </c>
      <c r="D33" s="12">
        <f t="shared" si="21"/>
        <v>14.733536411793811</v>
      </c>
      <c r="E33" s="7">
        <f t="shared" si="33"/>
        <v>11.693569862444907</v>
      </c>
      <c r="F33" s="14">
        <f t="shared" si="2"/>
        <v>0.79367027274487267</v>
      </c>
      <c r="G33" s="3">
        <f t="shared" si="34"/>
        <v>52.576303742108109</v>
      </c>
      <c r="H33" s="3">
        <f t="shared" si="3"/>
        <v>216.64558887339746</v>
      </c>
      <c r="I33" s="21">
        <f t="shared" si="4"/>
        <v>0.1952898526614103</v>
      </c>
      <c r="J33" s="4">
        <f t="shared" si="5"/>
        <v>3093543.486575685</v>
      </c>
      <c r="K33" s="3">
        <f t="shared" si="6"/>
        <v>10.713792829189346</v>
      </c>
      <c r="L33" s="4">
        <f t="shared" si="7"/>
        <v>429402.75196125219</v>
      </c>
      <c r="M33" s="4">
        <f t="shared" si="8"/>
        <v>390.3661381465929</v>
      </c>
      <c r="N33" s="7">
        <f t="shared" si="9"/>
        <v>39.03661381465929</v>
      </c>
      <c r="O33" s="7">
        <f t="shared" si="22"/>
        <v>6.2858150917421529</v>
      </c>
      <c r="P33" s="4">
        <f t="shared" si="10"/>
        <v>154739.13963947367</v>
      </c>
      <c r="Q33" s="4">
        <f t="shared" si="11"/>
        <v>14599.693566682574</v>
      </c>
      <c r="R33" s="4">
        <f t="shared" si="12"/>
        <v>4055.4704351896039</v>
      </c>
      <c r="S33" s="3">
        <f t="shared" si="13"/>
        <v>975.91534536648226</v>
      </c>
      <c r="T33" s="2">
        <f t="shared" si="14"/>
        <v>154.73913963947368</v>
      </c>
      <c r="U33" s="3"/>
      <c r="AC33" s="2">
        <f t="shared" si="16"/>
        <v>3.8991748632816496</v>
      </c>
      <c r="AD33" s="2">
        <f t="shared" si="17"/>
        <v>20.010107275450796</v>
      </c>
      <c r="AF33" s="2">
        <f t="shared" si="42"/>
        <v>0.51383708558355046</v>
      </c>
      <c r="AG33" s="2">
        <f t="shared" si="35"/>
        <v>16.494985315088307</v>
      </c>
      <c r="AH33" s="3">
        <f t="shared" si="36"/>
        <v>102.76741711671009</v>
      </c>
      <c r="AI33" s="2">
        <f t="shared" si="37"/>
        <v>0.66413331078450888</v>
      </c>
      <c r="AJ33" s="24"/>
      <c r="AK33" s="2">
        <f t="shared" si="43"/>
        <v>-9.6579704643530011</v>
      </c>
      <c r="AN33" s="21">
        <f t="shared" si="38"/>
        <v>-4.0838695094101027E-2</v>
      </c>
      <c r="AO33" s="21">
        <f t="shared" si="39"/>
        <v>-4.5965630841845323E-2</v>
      </c>
      <c r="AP33" s="21">
        <f t="shared" si="40"/>
        <v>-2.4205305602886633E-2</v>
      </c>
      <c r="AS33" s="16">
        <f t="shared" si="18"/>
        <v>5.9023360087764845</v>
      </c>
      <c r="AT33" s="16"/>
      <c r="AU33" s="20">
        <f t="shared" si="24"/>
        <v>3.0830225135013025</v>
      </c>
      <c r="AX33" s="18">
        <f t="shared" si="25"/>
        <v>5442.7491789226169</v>
      </c>
      <c r="AY33" s="18">
        <f t="shared" si="25"/>
        <v>2081.0511566468826</v>
      </c>
      <c r="AZ33" s="20">
        <f t="shared" si="41"/>
        <v>256.91854279177522</v>
      </c>
      <c r="BA33" s="20">
        <f t="shared" si="41"/>
        <v>513.83708558355045</v>
      </c>
      <c r="BB33" s="20">
        <f t="shared" si="41"/>
        <v>770.75562837532573</v>
      </c>
      <c r="BD33" s="4">
        <f t="shared" si="19"/>
        <v>11710.984144397788</v>
      </c>
      <c r="BE33" s="4">
        <f t="shared" si="20"/>
        <v>14053.180973277344</v>
      </c>
      <c r="BF33" s="4">
        <f t="shared" si="31"/>
        <v>49484.955945264919</v>
      </c>
      <c r="BG33" s="4">
        <f t="shared" si="32"/>
        <v>719.37191981697072</v>
      </c>
      <c r="BH33" s="4">
        <f t="shared" si="26"/>
        <v>75968.492982757016</v>
      </c>
    </row>
    <row r="34" spans="1:60" x14ac:dyDescent="0.75">
      <c r="A34">
        <v>2034</v>
      </c>
      <c r="B34" s="4">
        <f t="shared" si="27"/>
        <v>270.56800207858305</v>
      </c>
      <c r="C34" s="12">
        <f t="shared" si="0"/>
        <v>13.528400103929153</v>
      </c>
      <c r="D34" s="12">
        <f t="shared" si="21"/>
        <v>14.807204093852761</v>
      </c>
      <c r="E34" s="7">
        <f t="shared" si="33"/>
        <v>12.731044226998431</v>
      </c>
      <c r="F34" s="14">
        <f t="shared" si="2"/>
        <v>0.85978717834271956</v>
      </c>
      <c r="G34" s="3">
        <f t="shared" si="34"/>
        <v>62.678532782001128</v>
      </c>
      <c r="H34" s="3">
        <f t="shared" si="3"/>
        <v>207.88946929658192</v>
      </c>
      <c r="I34" s="21">
        <f t="shared" si="4"/>
        <v>0.23165537794745197</v>
      </c>
      <c r="J34" s="4">
        <f t="shared" si="5"/>
        <v>3109011.204008563</v>
      </c>
      <c r="K34" s="3">
        <f t="shared" si="6"/>
        <v>10.606654900897452</v>
      </c>
      <c r="L34" s="4">
        <f t="shared" si="7"/>
        <v>407927.19379651872</v>
      </c>
      <c r="M34" s="4">
        <f t="shared" si="8"/>
        <v>370.84290345138061</v>
      </c>
      <c r="N34" s="7">
        <f t="shared" si="9"/>
        <v>37.084290345138129</v>
      </c>
      <c r="O34" s="7">
        <f t="shared" si="22"/>
        <v>6.3486732426595749</v>
      </c>
      <c r="P34" s="4">
        <f t="shared" si="10"/>
        <v>182644.91054216915</v>
      </c>
      <c r="Q34" s="4">
        <f t="shared" si="11"/>
        <v>13869.524589081637</v>
      </c>
      <c r="R34" s="4">
        <f t="shared" si="12"/>
        <v>3852.6457191893433</v>
      </c>
      <c r="S34" s="3">
        <f t="shared" si="13"/>
        <v>927.10725862845322</v>
      </c>
      <c r="T34" s="2">
        <f t="shared" si="14"/>
        <v>182.64491054216916</v>
      </c>
      <c r="U34" s="3"/>
      <c r="AC34" s="2">
        <f t="shared" si="16"/>
        <v>3.7039816997893307</v>
      </c>
      <c r="AD34" s="2">
        <f t="shared" si="17"/>
        <v>18.820196924847842</v>
      </c>
      <c r="AF34" s="2">
        <f t="shared" si="42"/>
        <v>0.59713081012575731</v>
      </c>
      <c r="AG34" s="2">
        <f t="shared" si="35"/>
        <v>16.658744908441371</v>
      </c>
      <c r="AH34" s="3">
        <f t="shared" si="36"/>
        <v>119.42616202515147</v>
      </c>
      <c r="AI34" s="2">
        <f t="shared" si="37"/>
        <v>0.65387073568402709</v>
      </c>
      <c r="AJ34" s="24"/>
      <c r="AK34" s="2">
        <f t="shared" si="43"/>
        <v>-11.502545859355415</v>
      </c>
      <c r="AN34" s="21">
        <f t="shared" si="38"/>
        <v>-4.6954667875172162E-2</v>
      </c>
      <c r="AO34" s="21">
        <f t="shared" si="39"/>
        <v>-5.2849409729631008E-2</v>
      </c>
      <c r="AP34" s="21">
        <f t="shared" si="40"/>
        <v>-2.7830274272518458E-2</v>
      </c>
      <c r="AS34" s="16">
        <f t="shared" si="18"/>
        <v>5.6071447001848851</v>
      </c>
      <c r="AT34" s="16"/>
      <c r="AU34" s="20">
        <f t="shared" si="24"/>
        <v>3.5827848607545443</v>
      </c>
      <c r="AX34" s="18">
        <f t="shared" si="25"/>
        <v>5119.0935635586129</v>
      </c>
      <c r="AY34" s="18">
        <f t="shared" si="25"/>
        <v>1957.3004801841755</v>
      </c>
      <c r="AZ34" s="20">
        <f t="shared" si="41"/>
        <v>298.56540506287865</v>
      </c>
      <c r="BA34" s="20">
        <f t="shared" si="41"/>
        <v>597.13081012575731</v>
      </c>
      <c r="BB34" s="20">
        <f t="shared" si="41"/>
        <v>895.69621518863596</v>
      </c>
      <c r="BD34" s="4">
        <f t="shared" si="19"/>
        <v>11125.287103541439</v>
      </c>
      <c r="BE34" s="4">
        <f t="shared" si="20"/>
        <v>13350.344524249726</v>
      </c>
      <c r="BF34" s="4">
        <f t="shared" si="31"/>
        <v>49976.23472532411</v>
      </c>
      <c r="BG34" s="4">
        <f t="shared" si="32"/>
        <v>835.9831341760605</v>
      </c>
      <c r="BH34" s="4">
        <f t="shared" si="26"/>
        <v>75287.849487291329</v>
      </c>
    </row>
    <row r="35" spans="1:60" x14ac:dyDescent="0.75">
      <c r="A35">
        <v>2035</v>
      </c>
      <c r="B35" s="4">
        <f t="shared" si="27"/>
        <v>271.92084208897592</v>
      </c>
      <c r="C35" s="12">
        <f t="shared" si="0"/>
        <v>13.596042104448797</v>
      </c>
      <c r="D35" s="12">
        <f t="shared" si="21"/>
        <v>14.88124011432202</v>
      </c>
      <c r="E35" s="7">
        <f t="shared" si="33"/>
        <v>13.498618149494195</v>
      </c>
      <c r="F35" s="14">
        <f t="shared" si="2"/>
        <v>0.90708960044955123</v>
      </c>
      <c r="G35" s="3">
        <f t="shared" si="34"/>
        <v>73.043224292395266</v>
      </c>
      <c r="H35" s="3">
        <f t="shared" si="3"/>
        <v>198.87761779658064</v>
      </c>
      <c r="I35" s="21">
        <f t="shared" si="4"/>
        <v>0.26861943987542747</v>
      </c>
      <c r="J35" s="4">
        <f t="shared" si="5"/>
        <v>3124556.2600286049</v>
      </c>
      <c r="K35" s="3">
        <f t="shared" si="6"/>
        <v>10.500588351888476</v>
      </c>
      <c r="L35" s="4">
        <f t="shared" si="7"/>
        <v>386341.41942392901</v>
      </c>
      <c r="M35" s="4">
        <f t="shared" si="8"/>
        <v>351.2194722035718</v>
      </c>
      <c r="N35" s="7">
        <f t="shared" si="9"/>
        <v>35.121947220357185</v>
      </c>
      <c r="O35" s="7">
        <f t="shared" si="22"/>
        <v>6.4121599750861709</v>
      </c>
      <c r="P35" s="4">
        <f t="shared" si="10"/>
        <v>210740.16472758897</v>
      </c>
      <c r="Q35" s="4">
        <f t="shared" si="11"/>
        <v>13135.608260413586</v>
      </c>
      <c r="R35" s="4">
        <f t="shared" si="12"/>
        <v>3648.7800723371074</v>
      </c>
      <c r="S35" s="3">
        <f t="shared" si="13"/>
        <v>878.04868050892969</v>
      </c>
      <c r="T35" s="2">
        <f t="shared" si="14"/>
        <v>210.74016472758896</v>
      </c>
      <c r="U35" s="3"/>
      <c r="AC35" s="2">
        <f t="shared" si="16"/>
        <v>3.5078073310076796</v>
      </c>
      <c r="AD35" s="2">
        <f t="shared" si="17"/>
        <v>17.646951360142175</v>
      </c>
      <c r="AF35" s="2">
        <f t="shared" si="42"/>
        <v>0.67925799965515399</v>
      </c>
      <c r="AG35" s="2">
        <f t="shared" si="35"/>
        <v>16.425437905879338</v>
      </c>
      <c r="AH35" s="3">
        <f t="shared" si="36"/>
        <v>135.85159993103079</v>
      </c>
      <c r="AI35" s="2">
        <f t="shared" si="37"/>
        <v>0.6446402853800457</v>
      </c>
      <c r="AJ35" s="24"/>
      <c r="AK35" s="2">
        <f t="shared" si="43"/>
        <v>-13.356393644342019</v>
      </c>
      <c r="AN35" s="21">
        <f t="shared" si="38"/>
        <v>-5.2984985987470506E-2</v>
      </c>
      <c r="AO35" s="21">
        <f t="shared" si="39"/>
        <v>-5.9636780765118337E-2</v>
      </c>
      <c r="AP35" s="21">
        <f t="shared" si="40"/>
        <v>-3.1404474977376147E-2</v>
      </c>
      <c r="AS35" s="16">
        <f t="shared" si="18"/>
        <v>5.3104384197180066</v>
      </c>
      <c r="AT35" s="16"/>
      <c r="AU35" s="20">
        <f t="shared" si="24"/>
        <v>4.0755479979309239</v>
      </c>
      <c r="AX35" s="18">
        <f t="shared" si="25"/>
        <v>4799.9707699586716</v>
      </c>
      <c r="AY35" s="18">
        <f t="shared" si="25"/>
        <v>1835.2829414547862</v>
      </c>
      <c r="AZ35" s="20">
        <f t="shared" si="41"/>
        <v>339.62899982757699</v>
      </c>
      <c r="BA35" s="20">
        <f t="shared" si="41"/>
        <v>679.25799965515398</v>
      </c>
      <c r="BB35" s="20">
        <f t="shared" si="41"/>
        <v>1018.886999482731</v>
      </c>
      <c r="BD35" s="4">
        <f t="shared" si="19"/>
        <v>10536.584166107155</v>
      </c>
      <c r="BE35" s="4">
        <f t="shared" si="20"/>
        <v>12643.900999328587</v>
      </c>
      <c r="BF35" s="4">
        <f t="shared" si="31"/>
        <v>49276.313717638019</v>
      </c>
      <c r="BG35" s="4">
        <f t="shared" si="32"/>
        <v>950.96119951721562</v>
      </c>
      <c r="BH35" s="4">
        <f t="shared" si="26"/>
        <v>73407.760082590976</v>
      </c>
    </row>
    <row r="36" spans="1:60" x14ac:dyDescent="0.75">
      <c r="A36">
        <v>2036</v>
      </c>
      <c r="B36" s="4">
        <f t="shared" si="27"/>
        <v>273.28044629942076</v>
      </c>
      <c r="C36" s="12">
        <f t="shared" si="0"/>
        <v>13.664022314971039</v>
      </c>
      <c r="D36" s="12">
        <f t="shared" si="21"/>
        <v>14.95564631489364</v>
      </c>
      <c r="E36" s="7">
        <f t="shared" si="33"/>
        <v>14.037907811923027</v>
      </c>
      <c r="F36" s="14">
        <f t="shared" si="2"/>
        <v>0.93863598512244306</v>
      </c>
      <c r="G36" s="3">
        <f t="shared" si="34"/>
        <v>83.428970889698519</v>
      </c>
      <c r="H36" s="3">
        <f t="shared" si="3"/>
        <v>189.85147540972224</v>
      </c>
      <c r="I36" s="21">
        <f t="shared" si="4"/>
        <v>0.30528701200337344</v>
      </c>
      <c r="J36" s="4">
        <f t="shared" si="5"/>
        <v>3140179.0413287478</v>
      </c>
      <c r="K36" s="3">
        <f t="shared" si="6"/>
        <v>10.395582468369593</v>
      </c>
      <c r="L36" s="4">
        <f t="shared" si="7"/>
        <v>365119.08383223071</v>
      </c>
      <c r="M36" s="4">
        <f t="shared" si="8"/>
        <v>331.92643984748241</v>
      </c>
      <c r="N36" s="7">
        <f t="shared" si="9"/>
        <v>33.192643984748315</v>
      </c>
      <c r="O36" s="7">
        <f t="shared" si="22"/>
        <v>6.4762815748370324</v>
      </c>
      <c r="P36" s="4">
        <f t="shared" si="10"/>
        <v>238321.31812432213</v>
      </c>
      <c r="Q36" s="4">
        <f t="shared" si="11"/>
        <v>12414.048850295843</v>
      </c>
      <c r="R36" s="4">
        <f t="shared" si="12"/>
        <v>3448.3469028599566</v>
      </c>
      <c r="S36" s="3">
        <f t="shared" si="13"/>
        <v>829.81609961870788</v>
      </c>
      <c r="T36" s="2">
        <f t="shared" si="14"/>
        <v>238.32131812432215</v>
      </c>
      <c r="U36" s="3"/>
      <c r="AC36" s="2">
        <f t="shared" si="16"/>
        <v>3.3149522660525683</v>
      </c>
      <c r="AD36" s="2">
        <f t="shared" si="17"/>
        <v>16.51162674607809</v>
      </c>
      <c r="AF36" s="2">
        <f t="shared" si="42"/>
        <v>0.75873072263963992</v>
      </c>
      <c r="AG36" s="2">
        <f t="shared" si="35"/>
        <v>15.894544596897187</v>
      </c>
      <c r="AH36" s="3">
        <f t="shared" si="36"/>
        <v>151.74614452792798</v>
      </c>
      <c r="AI36" s="2">
        <f t="shared" si="37"/>
        <v>0.63672920963272128</v>
      </c>
      <c r="AJ36" s="24"/>
      <c r="AK36" s="2">
        <f t="shared" si="43"/>
        <v>-17.954999999999998</v>
      </c>
      <c r="AN36" s="21">
        <f t="shared" si="38"/>
        <v>-5.8820395717100613E-2</v>
      </c>
      <c r="AO36" s="21">
        <f t="shared" si="39"/>
        <v>-6.6204774400199826E-2</v>
      </c>
      <c r="AP36" s="21">
        <f t="shared" si="40"/>
        <v>-3.4863152476700972E-2</v>
      </c>
      <c r="AS36" s="16">
        <f t="shared" si="18"/>
        <v>5.0187277704939453</v>
      </c>
      <c r="AT36" s="16"/>
      <c r="AU36" s="20">
        <f t="shared" si="24"/>
        <v>4.5523843358378402</v>
      </c>
      <c r="AX36" s="18">
        <f t="shared" si="25"/>
        <v>4491.1624749332404</v>
      </c>
      <c r="AY36" s="18">
        <f t="shared" si="25"/>
        <v>1717.2091815921212</v>
      </c>
      <c r="AZ36" s="20">
        <f t="shared" si="41"/>
        <v>379.36536131981995</v>
      </c>
      <c r="BA36" s="20">
        <f t="shared" si="41"/>
        <v>758.73072263963991</v>
      </c>
      <c r="BB36" s="20">
        <f t="shared" si="41"/>
        <v>1138.09608395946</v>
      </c>
      <c r="BD36" s="4">
        <f t="shared" si="19"/>
        <v>9957.7931954244941</v>
      </c>
      <c r="BE36" s="4">
        <f t="shared" si="20"/>
        <v>11949.351834509394</v>
      </c>
      <c r="BF36" s="4">
        <f t="shared" si="31"/>
        <v>47683.633790691558</v>
      </c>
      <c r="BG36" s="4">
        <f t="shared" si="32"/>
        <v>1062.2230116954961</v>
      </c>
      <c r="BH36" s="4">
        <f t="shared" si="26"/>
        <v>70653.001832320937</v>
      </c>
    </row>
    <row r="37" spans="1:60" x14ac:dyDescent="0.75">
      <c r="A37">
        <v>2037</v>
      </c>
      <c r="B37" s="4">
        <f t="shared" si="27"/>
        <v>274.64684853091785</v>
      </c>
      <c r="C37" s="12">
        <f t="shared" si="0"/>
        <v>13.732342426545893</v>
      </c>
      <c r="D37" s="12">
        <f t="shared" si="21"/>
        <v>15.030424546468129</v>
      </c>
      <c r="E37" s="7">
        <f t="shared" si="33"/>
        <v>14.408319436965893</v>
      </c>
      <c r="F37" s="14">
        <f t="shared" si="2"/>
        <v>0.95861027693669376</v>
      </c>
      <c r="G37" s="3">
        <f t="shared" si="34"/>
        <v>93.665841782179484</v>
      </c>
      <c r="H37" s="3">
        <f t="shared" si="3"/>
        <v>180.98100674873837</v>
      </c>
      <c r="I37" s="21">
        <f t="shared" si="4"/>
        <v>0.34104102152708748</v>
      </c>
      <c r="J37" s="4">
        <f t="shared" si="5"/>
        <v>3155879.9365353915</v>
      </c>
      <c r="K37" s="3">
        <f t="shared" si="6"/>
        <v>10.291626643685897</v>
      </c>
      <c r="L37" s="4">
        <f t="shared" si="7"/>
        <v>344578.95594543638</v>
      </c>
      <c r="M37" s="4">
        <f t="shared" si="8"/>
        <v>313.25359631403302</v>
      </c>
      <c r="N37" s="7">
        <f t="shared" si="9"/>
        <v>31.325359631403387</v>
      </c>
      <c r="O37" s="7">
        <f t="shared" si="22"/>
        <v>6.5410443905854025</v>
      </c>
      <c r="P37" s="4">
        <f t="shared" si="10"/>
        <v>264914.58695256442</v>
      </c>
      <c r="Q37" s="4">
        <f t="shared" si="11"/>
        <v>11715.684502144835</v>
      </c>
      <c r="R37" s="4">
        <f t="shared" si="12"/>
        <v>3254.3568061513429</v>
      </c>
      <c r="S37" s="3">
        <f t="shared" si="13"/>
        <v>783.13399078508473</v>
      </c>
      <c r="T37" s="2">
        <f t="shared" si="14"/>
        <v>264.91458695256443</v>
      </c>
      <c r="U37" s="3"/>
      <c r="AC37" s="2">
        <f t="shared" si="16"/>
        <v>3.1283099984063258</v>
      </c>
      <c r="AD37" s="2">
        <f t="shared" si="17"/>
        <v>15.427693152532081</v>
      </c>
      <c r="AF37" s="2">
        <f t="shared" si="42"/>
        <v>0.83460607418786059</v>
      </c>
      <c r="AG37" s="2">
        <f t="shared" si="35"/>
        <v>15.175070309644134</v>
      </c>
      <c r="AH37" s="3">
        <f t="shared" si="36"/>
        <v>166.92121483757211</v>
      </c>
      <c r="AI37" s="2">
        <f t="shared" si="37"/>
        <v>0.63009446462629481</v>
      </c>
      <c r="AJ37" s="24"/>
      <c r="AK37" s="2">
        <f t="shared" si="43"/>
        <v>-17.954999999999998</v>
      </c>
      <c r="AN37" s="21">
        <f t="shared" si="38"/>
        <v>-6.4391662788823092E-2</v>
      </c>
      <c r="AO37" s="21">
        <f t="shared" si="39"/>
        <v>-7.2475464610796569E-2</v>
      </c>
      <c r="AP37" s="21">
        <f t="shared" si="40"/>
        <v>-3.8165271257813091E-2</v>
      </c>
      <c r="AS37" s="16">
        <f t="shared" si="18"/>
        <v>4.7363943762681924</v>
      </c>
      <c r="AT37" s="16"/>
      <c r="AU37" s="20">
        <f t="shared" si="24"/>
        <v>5.0076364451271633</v>
      </c>
      <c r="AX37" s="18">
        <f t="shared" si="25"/>
        <v>4196.3325374887263</v>
      </c>
      <c r="AY37" s="18">
        <f t="shared" si="25"/>
        <v>1604.4800878633364</v>
      </c>
      <c r="AZ37" s="20">
        <f t="shared" si="41"/>
        <v>417.3030370939303</v>
      </c>
      <c r="BA37" s="20">
        <f t="shared" si="41"/>
        <v>834.6060741878606</v>
      </c>
      <c r="BB37" s="20">
        <f t="shared" si="41"/>
        <v>1251.909111281791</v>
      </c>
      <c r="BD37" s="4">
        <f t="shared" si="19"/>
        <v>9397.6078894210168</v>
      </c>
      <c r="BE37" s="4">
        <f t="shared" si="20"/>
        <v>11277.12946730522</v>
      </c>
      <c r="BF37" s="4">
        <f t="shared" si="31"/>
        <v>45525.2109289324</v>
      </c>
      <c r="BG37" s="4">
        <f t="shared" si="32"/>
        <v>1168.4485038630048</v>
      </c>
      <c r="BH37" s="4">
        <f t="shared" si="26"/>
        <v>67368.396789521648</v>
      </c>
    </row>
    <row r="38" spans="1:60" x14ac:dyDescent="0.75">
      <c r="A38">
        <v>2038</v>
      </c>
      <c r="B38" s="4">
        <f t="shared" si="27"/>
        <v>276.02008277357243</v>
      </c>
      <c r="C38" s="12">
        <f t="shared" si="0"/>
        <v>13.801004138678621</v>
      </c>
      <c r="D38" s="12">
        <f t="shared" si="21"/>
        <v>15.105576669200468</v>
      </c>
      <c r="E38" s="7">
        <f t="shared" si="33"/>
        <v>14.664752668026471</v>
      </c>
      <c r="F38" s="14">
        <f t="shared" si="2"/>
        <v>0.97081713523239299</v>
      </c>
      <c r="G38" s="3">
        <f t="shared" si="34"/>
        <v>103.64730236109698</v>
      </c>
      <c r="H38" s="3">
        <f t="shared" si="3"/>
        <v>172.37278041247544</v>
      </c>
      <c r="I38" s="21">
        <f t="shared" si="4"/>
        <v>0.37550638098359668</v>
      </c>
      <c r="J38" s="4">
        <f t="shared" si="5"/>
        <v>3171659.3362180684</v>
      </c>
      <c r="K38" s="3">
        <f t="shared" si="6"/>
        <v>10.188710377249036</v>
      </c>
      <c r="L38" s="4">
        <f t="shared" si="7"/>
        <v>324907.42226061365</v>
      </c>
      <c r="M38" s="4">
        <f t="shared" si="8"/>
        <v>295.37038387328511</v>
      </c>
      <c r="N38" s="7">
        <f t="shared" si="9"/>
        <v>29.53703838732855</v>
      </c>
      <c r="O38" s="7">
        <f t="shared" si="22"/>
        <v>6.6064548344912568</v>
      </c>
      <c r="P38" s="4">
        <f t="shared" si="10"/>
        <v>290242.67049696</v>
      </c>
      <c r="Q38" s="4">
        <f t="shared" si="11"/>
        <v>11046.852356860865</v>
      </c>
      <c r="R38" s="4">
        <f t="shared" si="12"/>
        <v>3068.5700991280182</v>
      </c>
      <c r="S38" s="3">
        <f t="shared" si="13"/>
        <v>738.4259596832137</v>
      </c>
      <c r="T38" s="2">
        <f t="shared" si="14"/>
        <v>290.24267049695999</v>
      </c>
      <c r="U38" s="3"/>
      <c r="AC38" s="2">
        <f t="shared" si="16"/>
        <v>2.949571649869593</v>
      </c>
      <c r="AD38" s="2">
        <f t="shared" si="17"/>
        <v>14.40219829850173</v>
      </c>
      <c r="AF38" s="2">
        <f t="shared" si="42"/>
        <v>0.90639071396998516</v>
      </c>
      <c r="AG38" s="2">
        <f t="shared" si="35"/>
        <v>14.356927956424913</v>
      </c>
      <c r="AH38" s="3">
        <f t="shared" si="36"/>
        <v>181.27814279399703</v>
      </c>
      <c r="AI38" s="2">
        <f t="shared" si="37"/>
        <v>0.62457440349349236</v>
      </c>
      <c r="AJ38" s="24"/>
      <c r="AK38" s="2">
        <f t="shared" si="43"/>
        <v>-17.954999999999998</v>
      </c>
      <c r="AN38" s="21">
        <f t="shared" si="38"/>
        <v>-6.9662562912685397E-2</v>
      </c>
      <c r="AO38" s="21">
        <f t="shared" si="39"/>
        <v>-7.8408079468823402E-2</v>
      </c>
      <c r="AP38" s="21">
        <f t="shared" si="40"/>
        <v>-4.1289360996880402E-2</v>
      </c>
      <c r="AS38" s="16">
        <f t="shared" si="18"/>
        <v>4.4660002041640769</v>
      </c>
      <c r="AT38" s="16"/>
      <c r="AU38" s="20">
        <f t="shared" si="24"/>
        <v>5.4383442838199114</v>
      </c>
      <c r="AX38" s="18">
        <f t="shared" si="25"/>
        <v>3917.3979371924706</v>
      </c>
      <c r="AY38" s="18">
        <f t="shared" si="25"/>
        <v>1497.8286230441799</v>
      </c>
      <c r="AZ38" s="20">
        <f t="shared" si="41"/>
        <v>453.1953569849926</v>
      </c>
      <c r="BA38" s="20">
        <f t="shared" si="41"/>
        <v>906.3907139699852</v>
      </c>
      <c r="BB38" s="20">
        <f t="shared" si="41"/>
        <v>1359.5860709549777</v>
      </c>
      <c r="BD38" s="4">
        <f t="shared" si="19"/>
        <v>8861.1115161985654</v>
      </c>
      <c r="BE38" s="4">
        <f t="shared" si="20"/>
        <v>10633.333819438278</v>
      </c>
      <c r="BF38" s="4">
        <f t="shared" si="31"/>
        <v>43070.783869274739</v>
      </c>
      <c r="BG38" s="4">
        <f t="shared" si="32"/>
        <v>1268.9469995579796</v>
      </c>
      <c r="BH38" s="4">
        <f t="shared" si="26"/>
        <v>63834.176204469557</v>
      </c>
    </row>
    <row r="39" spans="1:60" x14ac:dyDescent="0.75">
      <c r="A39">
        <v>2039</v>
      </c>
      <c r="B39" s="4">
        <f t="shared" si="27"/>
        <v>277.40018318744023</v>
      </c>
      <c r="C39" s="12">
        <f t="shared" si="0"/>
        <v>13.870009159372012</v>
      </c>
      <c r="D39" s="12">
        <f t="shared" si="21"/>
        <v>15.181104552546429</v>
      </c>
      <c r="E39" s="7">
        <f t="shared" si="33"/>
        <v>14.848775250429883</v>
      </c>
      <c r="F39" s="14">
        <f t="shared" si="2"/>
        <v>0.97810901697131103</v>
      </c>
      <c r="G39" s="3">
        <f t="shared" si="34"/>
        <v>113.31371249347201</v>
      </c>
      <c r="H39" s="3">
        <f t="shared" si="3"/>
        <v>164.08647069396824</v>
      </c>
      <c r="I39" s="21">
        <f t="shared" si="4"/>
        <v>0.40848463469436702</v>
      </c>
      <c r="J39" s="4">
        <f t="shared" si="5"/>
        <v>3187517.6328991577</v>
      </c>
      <c r="K39" s="3">
        <f t="shared" si="6"/>
        <v>10.086823273476545</v>
      </c>
      <c r="L39" s="4">
        <f t="shared" si="7"/>
        <v>306195.57781983097</v>
      </c>
      <c r="M39" s="4">
        <f t="shared" si="8"/>
        <v>278.3596161998463</v>
      </c>
      <c r="N39" s="7">
        <f t="shared" si="9"/>
        <v>27.835961619984687</v>
      </c>
      <c r="O39" s="7">
        <f t="shared" si="22"/>
        <v>6.6725193828361693</v>
      </c>
      <c r="P39" s="4">
        <f t="shared" si="10"/>
        <v>314169.74022160034</v>
      </c>
      <c r="Q39" s="4">
        <f t="shared" si="11"/>
        <v>10410.649645874253</v>
      </c>
      <c r="R39" s="4">
        <f t="shared" si="12"/>
        <v>2891.8471238539591</v>
      </c>
      <c r="S39" s="3">
        <f t="shared" si="13"/>
        <v>695.89904049961717</v>
      </c>
      <c r="T39" s="2">
        <f t="shared" si="14"/>
        <v>314.16974022160036</v>
      </c>
      <c r="U39" s="3"/>
      <c r="AC39" s="2">
        <f t="shared" si="16"/>
        <v>2.7795629731609814</v>
      </c>
      <c r="AD39" s="2">
        <f t="shared" si="17"/>
        <v>13.43770119956681</v>
      </c>
      <c r="AF39" s="2">
        <f t="shared" si="42"/>
        <v>0.97390551089542954</v>
      </c>
      <c r="AG39" s="2">
        <f t="shared" si="35"/>
        <v>13.502959385088875</v>
      </c>
      <c r="AH39" s="3">
        <f t="shared" si="36"/>
        <v>194.78110217908591</v>
      </c>
      <c r="AI39" s="2">
        <f t="shared" si="37"/>
        <v>0.61998683272837352</v>
      </c>
      <c r="AJ39" s="24"/>
      <c r="AK39" s="2">
        <f t="shared" si="43"/>
        <v>-17.954999999999998</v>
      </c>
      <c r="AN39" s="21">
        <f t="shared" si="38"/>
        <v>-7.4619943106511724E-2</v>
      </c>
      <c r="AO39" s="21">
        <f t="shared" si="39"/>
        <v>-8.398781475191798E-2</v>
      </c>
      <c r="AP39" s="21">
        <f t="shared" si="40"/>
        <v>-4.4227625853403611E-2</v>
      </c>
      <c r="AS39" s="16">
        <f t="shared" si="18"/>
        <v>4.2087973969416845</v>
      </c>
      <c r="AT39" s="16"/>
      <c r="AU39" s="20">
        <f t="shared" si="24"/>
        <v>5.8434330653725777</v>
      </c>
      <c r="AX39" s="18">
        <f t="shared" si="25"/>
        <v>3655.0547262821724</v>
      </c>
      <c r="AY39" s="18">
        <f t="shared" si="25"/>
        <v>1397.5209247549483</v>
      </c>
      <c r="AZ39" s="20">
        <f t="shared" si="41"/>
        <v>486.95275544771476</v>
      </c>
      <c r="BA39" s="20">
        <f t="shared" si="41"/>
        <v>973.90551089542953</v>
      </c>
      <c r="BB39" s="20">
        <f t="shared" si="41"/>
        <v>1460.8582663431444</v>
      </c>
      <c r="BD39" s="4">
        <f t="shared" si="19"/>
        <v>8350.7884859954065</v>
      </c>
      <c r="BE39" s="4">
        <f t="shared" si="20"/>
        <v>10020.946183194486</v>
      </c>
      <c r="BF39" s="4">
        <f t="shared" si="31"/>
        <v>40508.878155266626</v>
      </c>
      <c r="BG39" s="4">
        <f t="shared" si="32"/>
        <v>1363.4677152536015</v>
      </c>
      <c r="BH39" s="4">
        <f t="shared" si="26"/>
        <v>60244.080539710121</v>
      </c>
    </row>
    <row r="40" spans="1:60" x14ac:dyDescent="0.75">
      <c r="A40">
        <v>2040</v>
      </c>
      <c r="B40" s="4">
        <f t="shared" si="27"/>
        <v>278.7871841033774</v>
      </c>
      <c r="C40" s="12">
        <f t="shared" si="0"/>
        <v>13.93935920516887</v>
      </c>
      <c r="D40" s="12">
        <f t="shared" si="21"/>
        <v>15.257010075309177</v>
      </c>
      <c r="E40" s="7">
        <f t="shared" si="33"/>
        <v>14.988548593841593</v>
      </c>
      <c r="F40" s="14">
        <f t="shared" si="2"/>
        <v>0.98240405687992283</v>
      </c>
      <c r="G40" s="3">
        <f t="shared" si="34"/>
        <v>122.63657546264</v>
      </c>
      <c r="H40" s="3">
        <f t="shared" si="3"/>
        <v>156.1506086407374</v>
      </c>
      <c r="I40" s="21">
        <f t="shared" si="4"/>
        <v>0.43989316028661124</v>
      </c>
      <c r="J40" s="4">
        <f t="shared" si="5"/>
        <v>3203455.2210636535</v>
      </c>
      <c r="K40" s="3">
        <f t="shared" si="6"/>
        <v>9.9859550407417821</v>
      </c>
      <c r="L40" s="4">
        <f t="shared" si="7"/>
        <v>288472.89713211072</v>
      </c>
      <c r="M40" s="4">
        <f t="shared" si="8"/>
        <v>262.24808830191881</v>
      </c>
      <c r="N40" s="7">
        <f t="shared" si="9"/>
        <v>26.224808830191932</v>
      </c>
      <c r="O40" s="7">
        <f t="shared" si="22"/>
        <v>6.7392445766645315</v>
      </c>
      <c r="P40" s="4">
        <f t="shared" si="10"/>
        <v>336651.47781025188</v>
      </c>
      <c r="Q40" s="4">
        <f t="shared" si="11"/>
        <v>9808.0785024917641</v>
      </c>
      <c r="R40" s="4">
        <f t="shared" si="12"/>
        <v>2724.4662506921568</v>
      </c>
      <c r="S40" s="3">
        <f t="shared" si="13"/>
        <v>655.62022075479831</v>
      </c>
      <c r="T40" s="2">
        <f t="shared" si="14"/>
        <v>336.65147781025189</v>
      </c>
      <c r="U40" s="3"/>
      <c r="AC40" s="2">
        <f t="shared" si="16"/>
        <v>2.6185502087034154</v>
      </c>
      <c r="AD40" s="2">
        <f t="shared" si="17"/>
        <v>12.533951040085938</v>
      </c>
      <c r="AF40" s="2">
        <f t="shared" si="42"/>
        <v>1.0371680220590906</v>
      </c>
      <c r="AG40" s="2">
        <f t="shared" si="35"/>
        <v>12.652502232732221</v>
      </c>
      <c r="AH40" s="3">
        <f t="shared" si="36"/>
        <v>207.43360441181812</v>
      </c>
      <c r="AI40" s="2">
        <f t="shared" si="37"/>
        <v>0.6161672176847971</v>
      </c>
      <c r="AJ40" s="24"/>
      <c r="AK40" s="2">
        <f t="shared" si="43"/>
        <v>-17.954999999999998</v>
      </c>
      <c r="AN40" s="21">
        <f t="shared" si="38"/>
        <v>-7.9265092527619693E-2</v>
      </c>
      <c r="AO40" s="21">
        <f t="shared" si="39"/>
        <v>-8.9216121459658557E-2</v>
      </c>
      <c r="AP40" s="21">
        <f t="shared" si="40"/>
        <v>-4.6980829917586148E-2</v>
      </c>
      <c r="AS40" s="16">
        <f t="shared" si="18"/>
        <v>3.9651910951250198</v>
      </c>
      <c r="AT40" s="16"/>
      <c r="AU40" s="20">
        <f t="shared" si="24"/>
        <v>6.2230081323545434</v>
      </c>
      <c r="AX40" s="18">
        <f t="shared" si="25"/>
        <v>3409.234682903375</v>
      </c>
      <c r="AY40" s="18">
        <f t="shared" si="25"/>
        <v>1303.5309081689375</v>
      </c>
      <c r="AZ40" s="20">
        <f t="shared" si="41"/>
        <v>518.58401102954531</v>
      </c>
      <c r="BA40" s="20">
        <f t="shared" si="41"/>
        <v>1037.1680220590906</v>
      </c>
      <c r="BB40" s="20">
        <f t="shared" si="41"/>
        <v>1555.7520330886359</v>
      </c>
      <c r="BD40" s="4">
        <f t="shared" si="19"/>
        <v>7867.4426490575797</v>
      </c>
      <c r="BE40" s="4">
        <f t="shared" si="20"/>
        <v>9440.9311788690957</v>
      </c>
      <c r="BF40" s="4">
        <f t="shared" si="31"/>
        <v>37957.506698196667</v>
      </c>
      <c r="BG40" s="4">
        <f t="shared" si="32"/>
        <v>1452.0352308827269</v>
      </c>
      <c r="BH40" s="4">
        <f t="shared" si="26"/>
        <v>56717.915757006071</v>
      </c>
    </row>
    <row r="41" spans="1:60" x14ac:dyDescent="0.75">
      <c r="A41">
        <v>2041</v>
      </c>
      <c r="B41" s="4">
        <f t="shared" si="27"/>
        <v>280.18112002389427</v>
      </c>
      <c r="C41" s="12">
        <f t="shared" si="0"/>
        <v>14.009056001194715</v>
      </c>
      <c r="D41" s="12">
        <f t="shared" si="21"/>
        <v>15.333295125685737</v>
      </c>
      <c r="E41" s="7">
        <f t="shared" si="33"/>
        <v>15.101955782700784</v>
      </c>
      <c r="F41" s="14">
        <f t="shared" si="2"/>
        <v>0.98491261394966423</v>
      </c>
      <c r="G41" s="3">
        <f t="shared" si="34"/>
        <v>131.60670247220878</v>
      </c>
      <c r="H41" s="3">
        <f t="shared" si="3"/>
        <v>148.57441755168549</v>
      </c>
      <c r="I41" s="21">
        <f t="shared" si="4"/>
        <v>0.46972009556170369</v>
      </c>
      <c r="J41" s="4">
        <f t="shared" si="5"/>
        <v>3219472.4971689712</v>
      </c>
      <c r="K41" s="3">
        <f t="shared" si="6"/>
        <v>9.8860954903343625</v>
      </c>
      <c r="L41" s="4">
        <f t="shared" si="7"/>
        <v>271731.86267730291</v>
      </c>
      <c r="M41" s="4">
        <f t="shared" si="8"/>
        <v>247.02896607027535</v>
      </c>
      <c r="N41" s="7">
        <f t="shared" si="9"/>
        <v>24.702896607027554</v>
      </c>
      <c r="O41" s="7">
        <f t="shared" si="22"/>
        <v>6.8066370224311772</v>
      </c>
      <c r="P41" s="4">
        <f t="shared" si="10"/>
        <v>357698.52097478736</v>
      </c>
      <c r="Q41" s="4">
        <f t="shared" si="11"/>
        <v>9238.8833310282989</v>
      </c>
      <c r="R41" s="4">
        <f t="shared" si="12"/>
        <v>2566.3564808411943</v>
      </c>
      <c r="S41" s="3">
        <f t="shared" si="13"/>
        <v>617.57241517568889</v>
      </c>
      <c r="T41" s="2">
        <f t="shared" si="14"/>
        <v>357.69852097478736</v>
      </c>
      <c r="U41" s="3"/>
      <c r="AC41" s="2">
        <f t="shared" si="16"/>
        <v>2.4664637732038157</v>
      </c>
      <c r="AD41" s="2">
        <f t="shared" si="17"/>
        <v>11.689083355040657</v>
      </c>
      <c r="AF41" s="2">
        <f t="shared" si="42"/>
        <v>1.0963087600122603</v>
      </c>
      <c r="AG41" s="2">
        <f t="shared" si="35"/>
        <v>11.828147590633931</v>
      </c>
      <c r="AH41" s="3">
        <f t="shared" si="36"/>
        <v>219.26175200245208</v>
      </c>
      <c r="AI41" s="2">
        <f t="shared" si="37"/>
        <v>0.61297919657293443</v>
      </c>
      <c r="AJ41" s="24"/>
      <c r="AK41" s="2">
        <f t="shared" si="43"/>
        <v>-17.954999999999998</v>
      </c>
      <c r="AN41" s="21">
        <f t="shared" si="38"/>
        <v>-8.3607594265439858E-2</v>
      </c>
      <c r="AO41" s="21">
        <f t="shared" si="39"/>
        <v>-9.4103785753308938E-2</v>
      </c>
      <c r="AP41" s="21">
        <f t="shared" si="40"/>
        <v>-4.955465313605098E-2</v>
      </c>
      <c r="AS41" s="16">
        <f t="shared" si="18"/>
        <v>3.735077966982566</v>
      </c>
      <c r="AT41" s="16"/>
      <c r="AU41" s="20">
        <f t="shared" si="24"/>
        <v>6.5778525600735627</v>
      </c>
      <c r="AX41" s="18">
        <f t="shared" si="25"/>
        <v>3179.4306725710585</v>
      </c>
      <c r="AY41" s="18">
        <f t="shared" si="25"/>
        <v>1215.6646689242282</v>
      </c>
      <c r="AZ41" s="20">
        <f t="shared" si="41"/>
        <v>548.15438000613017</v>
      </c>
      <c r="BA41" s="20">
        <f t="shared" si="41"/>
        <v>1096.3087600122603</v>
      </c>
      <c r="BB41" s="20">
        <f t="shared" si="41"/>
        <v>1644.4631400183905</v>
      </c>
      <c r="BD41" s="4">
        <f t="shared" si="19"/>
        <v>7410.8689821082662</v>
      </c>
      <c r="BE41" s="4">
        <f t="shared" si="20"/>
        <v>8893.0427785299198</v>
      </c>
      <c r="BF41" s="4">
        <f t="shared" si="31"/>
        <v>35484.442771901791</v>
      </c>
      <c r="BG41" s="4">
        <f t="shared" si="32"/>
        <v>1534.8322640171648</v>
      </c>
      <c r="BH41" s="4">
        <f t="shared" si="26"/>
        <v>53323.186796557144</v>
      </c>
    </row>
    <row r="42" spans="1:60" x14ac:dyDescent="0.75">
      <c r="A42">
        <v>2042</v>
      </c>
      <c r="B42" s="4">
        <f t="shared" si="27"/>
        <v>281.58202562401368</v>
      </c>
      <c r="C42" s="12">
        <f t="shared" si="0"/>
        <v>14.079101281200685</v>
      </c>
      <c r="D42" s="12">
        <f t="shared" si="21"/>
        <v>15.40996160131413</v>
      </c>
      <c r="E42" s="7">
        <f t="shared" si="33"/>
        <v>15.199930868614528</v>
      </c>
      <c r="F42" s="14">
        <f t="shared" si="2"/>
        <v>0.98637045710213245</v>
      </c>
      <c r="G42" s="3">
        <f t="shared" si="34"/>
        <v>140.22629821721287</v>
      </c>
      <c r="H42" s="3">
        <f t="shared" si="3"/>
        <v>141.35572740680081</v>
      </c>
      <c r="I42" s="21">
        <f t="shared" si="4"/>
        <v>0.49799449345695096</v>
      </c>
      <c r="J42" s="4">
        <f t="shared" si="5"/>
        <v>3235569.8596548154</v>
      </c>
      <c r="K42" s="3">
        <f t="shared" si="6"/>
        <v>9.7872345354310184</v>
      </c>
      <c r="L42" s="4">
        <f t="shared" si="7"/>
        <v>255944.10655551055</v>
      </c>
      <c r="M42" s="4">
        <f t="shared" si="8"/>
        <v>232.67646050500957</v>
      </c>
      <c r="N42" s="7">
        <f t="shared" si="9"/>
        <v>23.267646050500986</v>
      </c>
      <c r="O42" s="7">
        <f t="shared" si="22"/>
        <v>6.8747033926554888</v>
      </c>
      <c r="P42" s="4">
        <f t="shared" si="10"/>
        <v>377352.50073332735</v>
      </c>
      <c r="Q42" s="4">
        <f t="shared" si="11"/>
        <v>8702.0996228873573</v>
      </c>
      <c r="R42" s="4">
        <f t="shared" si="12"/>
        <v>2417.249895246488</v>
      </c>
      <c r="S42" s="3">
        <f t="shared" si="13"/>
        <v>581.69115126252461</v>
      </c>
      <c r="T42" s="2">
        <f t="shared" si="14"/>
        <v>377.35250073332736</v>
      </c>
      <c r="U42" s="3"/>
      <c r="AC42" s="2">
        <f t="shared" si="16"/>
        <v>2.3230448512716313</v>
      </c>
      <c r="AD42" s="2">
        <f t="shared" si="17"/>
        <v>10.900387464896257</v>
      </c>
      <c r="AF42" s="2">
        <f t="shared" si="42"/>
        <v>1.1515174723223685</v>
      </c>
      <c r="AG42" s="2">
        <f t="shared" si="35"/>
        <v>11.041742462021631</v>
      </c>
      <c r="AH42" s="3">
        <f t="shared" si="36"/>
        <v>230.30349446447369</v>
      </c>
      <c r="AI42" s="2">
        <f t="shared" si="37"/>
        <v>0.61031394787874405</v>
      </c>
      <c r="AJ42" s="24"/>
      <c r="AK42" s="2">
        <f t="shared" si="43"/>
        <v>-17.954999999999998</v>
      </c>
      <c r="AN42" s="21">
        <f t="shared" si="38"/>
        <v>-8.7661380833664579E-2</v>
      </c>
      <c r="AO42" s="21">
        <f t="shared" si="39"/>
        <v>-9.866648925001209E-2</v>
      </c>
      <c r="AP42" s="21">
        <f t="shared" si="40"/>
        <v>-5.1957353381655295E-2</v>
      </c>
      <c r="AS42" s="16">
        <f t="shared" si="18"/>
        <v>3.5180680828357489</v>
      </c>
      <c r="AT42" s="16"/>
      <c r="AU42" s="20">
        <f t="shared" si="24"/>
        <v>6.9091048339342107</v>
      </c>
      <c r="AX42" s="18">
        <f t="shared" si="25"/>
        <v>2964.9053904517818</v>
      </c>
      <c r="AY42" s="18">
        <f t="shared" si="25"/>
        <v>1133.6402963492108</v>
      </c>
      <c r="AZ42" s="20">
        <f t="shared" si="41"/>
        <v>575.75873616118417</v>
      </c>
      <c r="BA42" s="20">
        <f t="shared" si="41"/>
        <v>1151.5174723223683</v>
      </c>
      <c r="BB42" s="20">
        <f t="shared" si="41"/>
        <v>1727.2762084835526</v>
      </c>
      <c r="BD42" s="4">
        <f t="shared" si="19"/>
        <v>6980.2938151502958</v>
      </c>
      <c r="BE42" s="4">
        <f t="shared" si="20"/>
        <v>8376.3525781803546</v>
      </c>
      <c r="BF42" s="4">
        <f t="shared" si="31"/>
        <v>33125.227386064893</v>
      </c>
      <c r="BG42" s="4">
        <f t="shared" si="32"/>
        <v>1612.124461251316</v>
      </c>
      <c r="BH42" s="4">
        <f t="shared" si="26"/>
        <v>50093.998240646863</v>
      </c>
    </row>
    <row r="43" spans="1:60" x14ac:dyDescent="0.75">
      <c r="A43">
        <v>2043</v>
      </c>
      <c r="B43" s="4">
        <f t="shared" si="27"/>
        <v>282.9899357521337</v>
      </c>
      <c r="C43" s="12">
        <f t="shared" si="0"/>
        <v>14.149496787606687</v>
      </c>
      <c r="D43" s="12">
        <f t="shared" si="21"/>
        <v>15.487011409320708</v>
      </c>
      <c r="E43" s="7">
        <f t="shared" si="33"/>
        <v>15.289013155836441</v>
      </c>
      <c r="F43" s="14">
        <f t="shared" si="2"/>
        <v>0.98721520581013433</v>
      </c>
      <c r="G43" s="3">
        <f t="shared" si="34"/>
        <v>148.50399646218867</v>
      </c>
      <c r="H43" s="3">
        <f t="shared" si="3"/>
        <v>134.48593928994504</v>
      </c>
      <c r="I43" s="21">
        <f t="shared" si="4"/>
        <v>0.52476776627229915</v>
      </c>
      <c r="J43" s="4">
        <f t="shared" si="5"/>
        <v>3251747.7089530891</v>
      </c>
      <c r="K43" s="3">
        <f t="shared" si="6"/>
        <v>9.6893621900767091</v>
      </c>
      <c r="L43" s="4">
        <f t="shared" si="7"/>
        <v>241070.35042179484</v>
      </c>
      <c r="M43" s="4">
        <f t="shared" si="8"/>
        <v>219.15486401981349</v>
      </c>
      <c r="N43" s="7">
        <f t="shared" si="9"/>
        <v>21.915486401981354</v>
      </c>
      <c r="O43" s="7">
        <f t="shared" si="22"/>
        <v>6.9434504265820438</v>
      </c>
      <c r="P43" s="4">
        <f t="shared" si="10"/>
        <v>395671.2823976879</v>
      </c>
      <c r="Q43" s="4">
        <f t="shared" si="11"/>
        <v>8196.3919143410239</v>
      </c>
      <c r="R43" s="4">
        <f t="shared" si="12"/>
        <v>2276.7755317613955</v>
      </c>
      <c r="S43" s="3">
        <f t="shared" si="13"/>
        <v>547.8871600495338</v>
      </c>
      <c r="T43" s="2">
        <f t="shared" si="14"/>
        <v>395.67128239768789</v>
      </c>
      <c r="U43" s="3"/>
      <c r="AC43" s="2">
        <f t="shared" si="16"/>
        <v>2.1879356567966153</v>
      </c>
      <c r="AD43" s="2">
        <f t="shared" si="17"/>
        <v>10.164768989187859</v>
      </c>
      <c r="AF43" s="2">
        <f t="shared" si="42"/>
        <v>1.2030107656219562</v>
      </c>
      <c r="AG43" s="2">
        <f t="shared" si="35"/>
        <v>10.298658659917548</v>
      </c>
      <c r="AH43" s="3">
        <f t="shared" si="36"/>
        <v>240.60215312439124</v>
      </c>
      <c r="AI43" s="2">
        <f t="shared" si="37"/>
        <v>0.60808596384956448</v>
      </c>
      <c r="AJ43" s="24"/>
      <c r="AK43" s="2">
        <f t="shared" si="43"/>
        <v>-17.954999999999998</v>
      </c>
      <c r="AN43" s="21">
        <f t="shared" si="38"/>
        <v>-9.1442356915102843E-2</v>
      </c>
      <c r="AO43" s="21">
        <f t="shared" si="39"/>
        <v>-0.10292213332435819</v>
      </c>
      <c r="AP43" s="21">
        <f t="shared" si="40"/>
        <v>-5.4198357442082234E-2</v>
      </c>
      <c r="AS43" s="16">
        <f t="shared" si="18"/>
        <v>3.3136215439795804</v>
      </c>
      <c r="AT43" s="16"/>
      <c r="AU43" s="20">
        <f t="shared" si="24"/>
        <v>7.2180645937317367</v>
      </c>
      <c r="AX43" s="18">
        <f t="shared" si="25"/>
        <v>2764.8171650590975</v>
      </c>
      <c r="AY43" s="18">
        <f t="shared" si="25"/>
        <v>1057.1359748755374</v>
      </c>
      <c r="AZ43" s="20">
        <f t="shared" si="41"/>
        <v>601.50538281097806</v>
      </c>
      <c r="BA43" s="20">
        <f t="shared" si="41"/>
        <v>1203.0107656219561</v>
      </c>
      <c r="BB43" s="20">
        <f t="shared" si="41"/>
        <v>1804.5161484329342</v>
      </c>
      <c r="BD43" s="4">
        <f t="shared" si="19"/>
        <v>6574.6459205944066</v>
      </c>
      <c r="BE43" s="4">
        <f t="shared" si="20"/>
        <v>7889.5751047132871</v>
      </c>
      <c r="BF43" s="4">
        <f t="shared" si="31"/>
        <v>30895.975979752642</v>
      </c>
      <c r="BG43" s="4">
        <f t="shared" si="32"/>
        <v>1684.2150718707389</v>
      </c>
      <c r="BH43" s="4">
        <f t="shared" si="26"/>
        <v>47044.412076931076</v>
      </c>
    </row>
    <row r="44" spans="1:60" x14ac:dyDescent="0.75">
      <c r="A44">
        <v>2044</v>
      </c>
      <c r="B44" s="4">
        <f t="shared" si="27"/>
        <v>284.40488543089435</v>
      </c>
      <c r="C44" s="12">
        <f t="shared" si="0"/>
        <v>14.220244271544718</v>
      </c>
      <c r="D44" s="12">
        <f t="shared" si="21"/>
        <v>15.564446466367336</v>
      </c>
      <c r="E44" s="7">
        <f t="shared" si="33"/>
        <v>15.373063917058754</v>
      </c>
      <c r="F44" s="14">
        <f t="shared" si="2"/>
        <v>0.9877038640775222</v>
      </c>
      <c r="G44" s="3">
        <f t="shared" si="34"/>
        <v>156.45186055613797</v>
      </c>
      <c r="H44" s="3">
        <f t="shared" si="3"/>
        <v>127.95302487475638</v>
      </c>
      <c r="I44" s="21">
        <f t="shared" si="4"/>
        <v>0.55010257759497305</v>
      </c>
      <c r="J44" s="4">
        <f t="shared" si="5"/>
        <v>3268006.447497854</v>
      </c>
      <c r="K44" s="3">
        <f t="shared" si="6"/>
        <v>9.5924685681759421</v>
      </c>
      <c r="L44" s="4">
        <f t="shared" si="7"/>
        <v>227066.29332311501</v>
      </c>
      <c r="M44" s="4">
        <f t="shared" si="8"/>
        <v>206.42390302101361</v>
      </c>
      <c r="N44" s="7">
        <f t="shared" si="9"/>
        <v>20.642390302101404</v>
      </c>
      <c r="O44" s="7">
        <f t="shared" si="22"/>
        <v>7.0128849308478642</v>
      </c>
      <c r="P44" s="4">
        <f t="shared" si="10"/>
        <v>412720.22125402559</v>
      </c>
      <c r="Q44" s="4">
        <f t="shared" si="11"/>
        <v>7720.25397298591</v>
      </c>
      <c r="R44" s="4">
        <f t="shared" si="12"/>
        <v>2144.5149924960861</v>
      </c>
      <c r="S44" s="3">
        <f t="shared" si="13"/>
        <v>516.05975755253507</v>
      </c>
      <c r="T44" s="2">
        <f t="shared" si="14"/>
        <v>412.7202212540256</v>
      </c>
      <c r="U44" s="3"/>
      <c r="AC44" s="2">
        <f t="shared" si="16"/>
        <v>2.0607328925728523</v>
      </c>
      <c r="AD44" s="2">
        <f t="shared" si="17"/>
        <v>9.4790168745984769</v>
      </c>
      <c r="AF44" s="2">
        <f t="shared" si="42"/>
        <v>1.2510134136432127</v>
      </c>
      <c r="AG44" s="2">
        <f t="shared" si="35"/>
        <v>9.6005296042513066</v>
      </c>
      <c r="AH44" s="3">
        <f t="shared" si="36"/>
        <v>250.20268272864254</v>
      </c>
      <c r="AI44" s="2">
        <f t="shared" si="37"/>
        <v>0.60622831119933185</v>
      </c>
      <c r="AJ44" s="24"/>
      <c r="AK44" s="2">
        <f t="shared" si="43"/>
        <v>-17.954999999999998</v>
      </c>
      <c r="AN44" s="21">
        <f t="shared" si="38"/>
        <v>-9.4967026874705582E-2</v>
      </c>
      <c r="AO44" s="21">
        <f t="shared" si="39"/>
        <v>-0.10688929431785046</v>
      </c>
      <c r="AP44" s="21">
        <f t="shared" si="40"/>
        <v>-5.6287447539719121E-2</v>
      </c>
      <c r="AS44" s="16">
        <f t="shared" si="18"/>
        <v>3.1211294136777323</v>
      </c>
      <c r="AT44" s="16"/>
      <c r="AU44" s="20">
        <f t="shared" si="24"/>
        <v>7.5060804818592759</v>
      </c>
      <c r="AX44" s="18">
        <f t="shared" si="25"/>
        <v>2578.2925898907856</v>
      </c>
      <c r="AY44" s="18">
        <f t="shared" si="25"/>
        <v>985.81775495824161</v>
      </c>
      <c r="AZ44" s="20">
        <f t="shared" si="41"/>
        <v>625.50670682160637</v>
      </c>
      <c r="BA44" s="20">
        <f t="shared" si="41"/>
        <v>1251.0134136432127</v>
      </c>
      <c r="BB44" s="20">
        <f t="shared" si="41"/>
        <v>1876.520120464819</v>
      </c>
      <c r="BD44" s="4">
        <f t="shared" si="19"/>
        <v>6192.7170906304209</v>
      </c>
      <c r="BE44" s="4">
        <f t="shared" si="20"/>
        <v>7431.2605087565053</v>
      </c>
      <c r="BF44" s="4">
        <f t="shared" si="31"/>
        <v>28801.588812753918</v>
      </c>
      <c r="BG44" s="4">
        <f t="shared" si="32"/>
        <v>1751.4187791004981</v>
      </c>
      <c r="BH44" s="4">
        <f t="shared" si="26"/>
        <v>44176.985191241343</v>
      </c>
    </row>
    <row r="45" spans="1:60" x14ac:dyDescent="0.75">
      <c r="A45">
        <v>2045</v>
      </c>
      <c r="B45" s="4">
        <f t="shared" si="27"/>
        <v>285.82690985804879</v>
      </c>
      <c r="C45" s="12">
        <f t="shared" si="0"/>
        <v>14.29134549290244</v>
      </c>
      <c r="D45" s="12">
        <f t="shared" si="21"/>
        <v>15.642268698699159</v>
      </c>
      <c r="E45" s="7">
        <f t="shared" si="33"/>
        <v>15.454346508950465</v>
      </c>
      <c r="F45" s="14">
        <f t="shared" si="2"/>
        <v>0.98798625740495549</v>
      </c>
      <c r="G45" s="3">
        <f t="shared" si="34"/>
        <v>164.08361403728154</v>
      </c>
      <c r="H45" s="3">
        <f t="shared" si="3"/>
        <v>121.74329582076726</v>
      </c>
      <c r="I45" s="21">
        <f t="shared" si="4"/>
        <v>0.57406636106716102</v>
      </c>
      <c r="J45" s="4">
        <f t="shared" si="5"/>
        <v>3284346.4797353433</v>
      </c>
      <c r="K45" s="3">
        <f t="shared" si="6"/>
        <v>9.4965438824941817</v>
      </c>
      <c r="L45" s="4">
        <f t="shared" si="7"/>
        <v>213886.00196485658</v>
      </c>
      <c r="M45" s="4">
        <f t="shared" si="8"/>
        <v>194.44181996805142</v>
      </c>
      <c r="N45" s="7">
        <f t="shared" si="9"/>
        <v>19.444181996805156</v>
      </c>
      <c r="O45" s="7">
        <f t="shared" si="22"/>
        <v>7.0830137801563433</v>
      </c>
      <c r="P45" s="4">
        <f t="shared" si="10"/>
        <v>428567.12607196206</v>
      </c>
      <c r="Q45" s="4">
        <f t="shared" si="11"/>
        <v>7272.1240668051232</v>
      </c>
      <c r="R45" s="4">
        <f t="shared" si="12"/>
        <v>2020.0344630014231</v>
      </c>
      <c r="S45" s="3">
        <f t="shared" si="13"/>
        <v>486.10454992012887</v>
      </c>
      <c r="T45" s="2">
        <f t="shared" si="14"/>
        <v>428.56712607196204</v>
      </c>
      <c r="U45" s="3"/>
      <c r="AC45" s="2">
        <f t="shared" si="16"/>
        <v>1.9410185284021133</v>
      </c>
      <c r="AD45" s="2">
        <f t="shared" si="17"/>
        <v>8.83995187071557</v>
      </c>
      <c r="AF45" s="2">
        <f t="shared" si="42"/>
        <v>1.2957479639150165</v>
      </c>
      <c r="AG45" s="2">
        <f t="shared" si="35"/>
        <v>8.946910054360746</v>
      </c>
      <c r="AH45" s="3">
        <f t="shared" si="36"/>
        <v>259.1495927830033</v>
      </c>
      <c r="AI45" s="2">
        <f t="shared" si="37"/>
        <v>0.6046884537277567</v>
      </c>
      <c r="AJ45" s="24"/>
      <c r="AK45" s="2">
        <f t="shared" si="43"/>
        <v>-17.954999999999998</v>
      </c>
      <c r="AN45" s="21">
        <f t="shared" si="38"/>
        <v>-9.8251731614942911E-2</v>
      </c>
      <c r="AO45" s="21">
        <f t="shared" si="39"/>
        <v>-0.11058636458824746</v>
      </c>
      <c r="AP45" s="21">
        <f t="shared" si="40"/>
        <v>-5.8234309011896267E-2</v>
      </c>
      <c r="AS45" s="16">
        <f t="shared" si="18"/>
        <v>2.9399603179169396</v>
      </c>
      <c r="AT45" s="16"/>
      <c r="AU45" s="20">
        <f t="shared" si="24"/>
        <v>7.7744877834900992</v>
      </c>
      <c r="AX45" s="18">
        <f t="shared" si="25"/>
        <v>2404.466908834635</v>
      </c>
      <c r="AY45" s="18">
        <f t="shared" si="25"/>
        <v>919.35499455441925</v>
      </c>
      <c r="AZ45" s="20">
        <f t="shared" si="41"/>
        <v>647.87398195750825</v>
      </c>
      <c r="BA45" s="20">
        <f t="shared" si="41"/>
        <v>1295.7479639150165</v>
      </c>
      <c r="BB45" s="20">
        <f t="shared" si="41"/>
        <v>1943.6219458725247</v>
      </c>
      <c r="BD45" s="4">
        <f t="shared" si="19"/>
        <v>5833.2545990415465</v>
      </c>
      <c r="BE45" s="4">
        <f t="shared" si="20"/>
        <v>6999.905518849856</v>
      </c>
      <c r="BF45" s="4">
        <f t="shared" si="31"/>
        <v>26840.730163082237</v>
      </c>
      <c r="BG45" s="4">
        <f t="shared" si="32"/>
        <v>1814.0471494810233</v>
      </c>
      <c r="BH45" s="4">
        <f t="shared" si="26"/>
        <v>41487.937430454665</v>
      </c>
    </row>
    <row r="46" spans="1:60" x14ac:dyDescent="0.75">
      <c r="A46">
        <v>2046</v>
      </c>
      <c r="B46" s="4">
        <f t="shared" si="27"/>
        <v>287.256044407339</v>
      </c>
      <c r="C46" s="12">
        <f t="shared" si="0"/>
        <v>14.362802220366952</v>
      </c>
      <c r="D46" s="12">
        <f t="shared" si="21"/>
        <v>15.720480042192651</v>
      </c>
      <c r="E46" s="7">
        <f t="shared" si="33"/>
        <v>15.534182261551722</v>
      </c>
      <c r="F46" s="14">
        <f t="shared" si="2"/>
        <v>0.98814935802590509</v>
      </c>
      <c r="G46" s="3">
        <f t="shared" si="34"/>
        <v>171.41361559696918</v>
      </c>
      <c r="H46" s="3">
        <f t="shared" si="3"/>
        <v>115.84242881036982</v>
      </c>
      <c r="I46" s="21">
        <f t="shared" si="4"/>
        <v>0.59672761960719178</v>
      </c>
      <c r="J46" s="4">
        <f t="shared" si="5"/>
        <v>3300768.2121340195</v>
      </c>
      <c r="K46" s="3">
        <f t="shared" si="6"/>
        <v>9.4015784436692407</v>
      </c>
      <c r="L46" s="4">
        <f t="shared" si="7"/>
        <v>201483.8110896844</v>
      </c>
      <c r="M46" s="4">
        <f t="shared" si="8"/>
        <v>183.16710099062215</v>
      </c>
      <c r="N46" s="7">
        <f t="shared" si="9"/>
        <v>18.316710099062249</v>
      </c>
      <c r="O46" s="7">
        <f t="shared" si="22"/>
        <v>7.1538439179579072</v>
      </c>
      <c r="P46" s="4">
        <f t="shared" si="10"/>
        <v>443279.43479219044</v>
      </c>
      <c r="Q46" s="4">
        <f t="shared" si="11"/>
        <v>6850.4495770492695</v>
      </c>
      <c r="R46" s="4">
        <f t="shared" si="12"/>
        <v>1902.9026602914637</v>
      </c>
      <c r="S46" s="3">
        <f t="shared" si="13"/>
        <v>457.91775247655619</v>
      </c>
      <c r="T46" s="2">
        <f t="shared" si="14"/>
        <v>443.27943479219044</v>
      </c>
      <c r="U46" s="3"/>
      <c r="AC46" s="2">
        <f t="shared" si="16"/>
        <v>1.8283770498900629</v>
      </c>
      <c r="AD46" s="2">
        <f t="shared" si="17"/>
        <v>8.2445054031874072</v>
      </c>
      <c r="AF46" s="2">
        <f t="shared" si="42"/>
        <v>1.3374292166419877</v>
      </c>
      <c r="AG46" s="2">
        <f t="shared" si="35"/>
        <v>8.3362505453942415</v>
      </c>
      <c r="AH46" s="3">
        <f t="shared" si="36"/>
        <v>267.48584332839755</v>
      </c>
      <c r="AI46" s="2">
        <f t="shared" si="37"/>
        <v>0.6034248880817018</v>
      </c>
      <c r="AJ46" s="24"/>
      <c r="AK46" s="2">
        <f t="shared" si="43"/>
        <v>-17.954999999999998</v>
      </c>
      <c r="AN46" s="21">
        <f t="shared" si="38"/>
        <v>-0.10131224317881145</v>
      </c>
      <c r="AO46" s="21">
        <f t="shared" si="39"/>
        <v>-0.11403109621857567</v>
      </c>
      <c r="AP46" s="21">
        <f t="shared" si="40"/>
        <v>-6.0048290029994629E-2</v>
      </c>
      <c r="AS46" s="16">
        <f t="shared" si="18"/>
        <v>2.769486566978212</v>
      </c>
      <c r="AT46" s="16"/>
      <c r="AU46" s="20">
        <f t="shared" si="24"/>
        <v>8.0245752998519269</v>
      </c>
      <c r="AX46" s="18">
        <f t="shared" si="25"/>
        <v>2242.5054696669749</v>
      </c>
      <c r="AY46" s="18">
        <f t="shared" si="25"/>
        <v>857.42856193149032</v>
      </c>
      <c r="AZ46" s="20">
        <f t="shared" si="41"/>
        <v>668.71460832099388</v>
      </c>
      <c r="BA46" s="20">
        <f t="shared" si="41"/>
        <v>1337.4292166419878</v>
      </c>
      <c r="BB46" s="20">
        <f t="shared" si="41"/>
        <v>2006.1438249629814</v>
      </c>
      <c r="BD46" s="4">
        <f t="shared" si="19"/>
        <v>5495.0130297186743</v>
      </c>
      <c r="BE46" s="4">
        <f t="shared" si="20"/>
        <v>6594.0156356624093</v>
      </c>
      <c r="BF46" s="4">
        <f t="shared" si="31"/>
        <v>25008.751636182722</v>
      </c>
      <c r="BG46" s="4">
        <f t="shared" si="32"/>
        <v>1872.4009032987829</v>
      </c>
      <c r="BH46" s="4">
        <f t="shared" si="26"/>
        <v>38970.181204862587</v>
      </c>
    </row>
    <row r="47" spans="1:60" x14ac:dyDescent="0.75">
      <c r="A47">
        <v>2047</v>
      </c>
      <c r="B47" s="4">
        <f t="shared" si="27"/>
        <v>288.69232462937566</v>
      </c>
      <c r="C47" s="12">
        <f t="shared" si="0"/>
        <v>14.434616231468784</v>
      </c>
      <c r="D47" s="12">
        <f t="shared" si="21"/>
        <v>15.799082442403609</v>
      </c>
      <c r="E47" s="7">
        <f t="shared" si="33"/>
        <v>15.613340975458776</v>
      </c>
      <c r="F47" s="14">
        <f t="shared" si="2"/>
        <v>0.98824352821615036</v>
      </c>
      <c r="G47" s="3">
        <f t="shared" si="34"/>
        <v>178.4562757925795</v>
      </c>
      <c r="H47" s="3">
        <f t="shared" si="3"/>
        <v>110.23604883679616</v>
      </c>
      <c r="I47" s="21">
        <f t="shared" si="4"/>
        <v>0.61815386336191092</v>
      </c>
      <c r="J47" s="4">
        <f t="shared" si="5"/>
        <v>3317272.0531946891</v>
      </c>
      <c r="K47" s="3">
        <f t="shared" si="6"/>
        <v>9.3075626592325484</v>
      </c>
      <c r="L47" s="4">
        <f t="shared" si="7"/>
        <v>189815.35239311942</v>
      </c>
      <c r="M47" s="4">
        <f t="shared" si="8"/>
        <v>172.55941126647218</v>
      </c>
      <c r="N47" s="7">
        <f t="shared" si="9"/>
        <v>17.25594112664723</v>
      </c>
      <c r="O47" s="7">
        <f t="shared" si="22"/>
        <v>7.2253823571374864</v>
      </c>
      <c r="P47" s="4">
        <f t="shared" si="10"/>
        <v>456922.68436167133</v>
      </c>
      <c r="Q47" s="4">
        <f t="shared" si="11"/>
        <v>6453.7219813660604</v>
      </c>
      <c r="R47" s="4">
        <f t="shared" si="12"/>
        <v>1792.7005503794612</v>
      </c>
      <c r="S47" s="3">
        <f t="shared" si="13"/>
        <v>431.39852816618077</v>
      </c>
      <c r="T47" s="2">
        <f t="shared" si="14"/>
        <v>456.92268436167132</v>
      </c>
      <c r="U47" s="3"/>
      <c r="AC47" s="2">
        <f t="shared" si="16"/>
        <v>1.7224047943176497</v>
      </c>
      <c r="AD47" s="2">
        <f t="shared" si="17"/>
        <v>7.6897584420709819</v>
      </c>
      <c r="AF47" s="2">
        <f t="shared" si="42"/>
        <v>1.3762615039201376</v>
      </c>
      <c r="AG47" s="2">
        <f t="shared" si="35"/>
        <v>7.7664574556299826</v>
      </c>
      <c r="AH47" s="3">
        <f t="shared" si="36"/>
        <v>275.25230078402751</v>
      </c>
      <c r="AI47" s="2">
        <f t="shared" si="37"/>
        <v>0.60240454283542433</v>
      </c>
      <c r="AJ47" s="24"/>
      <c r="AK47" s="2">
        <f t="shared" si="43"/>
        <v>-17.954999999999998</v>
      </c>
      <c r="AN47" s="21">
        <f t="shared" si="38"/>
        <v>-0.10416356497196232</v>
      </c>
      <c r="AO47" s="21">
        <f t="shared" si="39"/>
        <v>-0.11724037615891865</v>
      </c>
      <c r="AP47" s="21">
        <f t="shared" si="40"/>
        <v>-6.1738283190068848E-2</v>
      </c>
      <c r="AS47" s="16">
        <f t="shared" si="18"/>
        <v>2.6090982983490614</v>
      </c>
      <c r="AT47" s="16"/>
      <c r="AU47" s="20">
        <f t="shared" si="24"/>
        <v>8.2575690235208246</v>
      </c>
      <c r="AX47" s="18">
        <f t="shared" si="25"/>
        <v>2091.6142962433069</v>
      </c>
      <c r="AY47" s="18">
        <f t="shared" si="25"/>
        <v>799.73487797538212</v>
      </c>
      <c r="AZ47" s="20">
        <f t="shared" si="41"/>
        <v>688.13075196006878</v>
      </c>
      <c r="BA47" s="20">
        <f t="shared" si="41"/>
        <v>1376.2615039201376</v>
      </c>
      <c r="BB47" s="20">
        <f t="shared" si="41"/>
        <v>2064.3922558802064</v>
      </c>
      <c r="BD47" s="4">
        <f t="shared" si="19"/>
        <v>5176.7823379941692</v>
      </c>
      <c r="BE47" s="4">
        <f t="shared" si="20"/>
        <v>6212.1388055930029</v>
      </c>
      <c r="BF47" s="4">
        <f t="shared" si="31"/>
        <v>23299.372366889947</v>
      </c>
      <c r="BG47" s="4">
        <f t="shared" si="32"/>
        <v>1926.7661054881928</v>
      </c>
      <c r="BH47" s="4">
        <f t="shared" si="26"/>
        <v>36615.059615965307</v>
      </c>
    </row>
    <row r="48" spans="1:60" x14ac:dyDescent="0.75">
      <c r="A48">
        <v>2048</v>
      </c>
      <c r="B48" s="4">
        <f t="shared" si="27"/>
        <v>290.13578625252251</v>
      </c>
      <c r="C48" s="12">
        <f t="shared" si="0"/>
        <v>14.506789312626125</v>
      </c>
      <c r="D48" s="12">
        <f t="shared" si="21"/>
        <v>15.878077854615629</v>
      </c>
      <c r="E48" s="7">
        <f t="shared" si="33"/>
        <v>15.692270830589505</v>
      </c>
      <c r="F48" s="14">
        <f t="shared" si="2"/>
        <v>0.98829788934608909</v>
      </c>
      <c r="G48" s="3">
        <f t="shared" si="34"/>
        <v>185.22573283354004</v>
      </c>
      <c r="H48" s="3">
        <f t="shared" si="3"/>
        <v>104.91005341898247</v>
      </c>
      <c r="I48" s="21">
        <f t="shared" si="4"/>
        <v>0.63841050159985091</v>
      </c>
      <c r="J48" s="4">
        <f t="shared" si="5"/>
        <v>3333858.4134606621</v>
      </c>
      <c r="K48" s="3">
        <f t="shared" si="6"/>
        <v>9.2144870326402231</v>
      </c>
      <c r="L48" s="4">
        <f t="shared" si="7"/>
        <v>178838.08046221931</v>
      </c>
      <c r="M48" s="4">
        <f t="shared" si="8"/>
        <v>162.58007314747209</v>
      </c>
      <c r="N48" s="7">
        <f t="shared" si="9"/>
        <v>16.258007314747232</v>
      </c>
      <c r="O48" s="7">
        <f t="shared" si="22"/>
        <v>7.297636180708861</v>
      </c>
      <c r="P48" s="4">
        <f t="shared" si="10"/>
        <v>469559.72763877065</v>
      </c>
      <c r="Q48" s="4">
        <f t="shared" si="11"/>
        <v>6080.494735715456</v>
      </c>
      <c r="R48" s="4">
        <f t="shared" si="12"/>
        <v>1689.0263154765155</v>
      </c>
      <c r="S48" s="3">
        <f t="shared" si="13"/>
        <v>406.45018286868083</v>
      </c>
      <c r="T48" s="2">
        <f t="shared" si="14"/>
        <v>469.55972763877065</v>
      </c>
      <c r="U48" s="3"/>
      <c r="AC48" s="2">
        <f t="shared" si="16"/>
        <v>1.6227147198739351</v>
      </c>
      <c r="AD48" s="2">
        <f t="shared" si="17"/>
        <v>7.1729577672480014</v>
      </c>
      <c r="AF48" s="2">
        <f t="shared" si="42"/>
        <v>1.4124375511577463</v>
      </c>
      <c r="AG48" s="2">
        <f t="shared" si="35"/>
        <v>7.2352094475217399</v>
      </c>
      <c r="AH48" s="3">
        <f t="shared" si="36"/>
        <v>282.48751023154927</v>
      </c>
      <c r="AI48" s="2">
        <f t="shared" si="37"/>
        <v>0.6016008051884405</v>
      </c>
      <c r="AJ48" s="24"/>
      <c r="AK48" s="2">
        <f t="shared" si="43"/>
        <v>-17.954999999999998</v>
      </c>
      <c r="AN48" s="21">
        <f t="shared" si="38"/>
        <v>-0.10681984816073777</v>
      </c>
      <c r="AO48" s="21">
        <f t="shared" si="39"/>
        <v>-0.12023013212896894</v>
      </c>
      <c r="AP48" s="21">
        <f t="shared" si="40"/>
        <v>-6.3312675961531506E-2</v>
      </c>
      <c r="AS48" s="16">
        <f t="shared" si="18"/>
        <v>2.4582107059897815</v>
      </c>
      <c r="AT48" s="16"/>
      <c r="AU48" s="20">
        <f t="shared" si="24"/>
        <v>8.4746253069464785</v>
      </c>
      <c r="AX48" s="18">
        <f t="shared" si="25"/>
        <v>1951.0445126914565</v>
      </c>
      <c r="AY48" s="18">
        <f t="shared" si="25"/>
        <v>745.98760779379211</v>
      </c>
      <c r="AZ48" s="20">
        <f t="shared" si="41"/>
        <v>706.21877557887319</v>
      </c>
      <c r="BA48" s="20">
        <f t="shared" si="41"/>
        <v>1412.4375511577464</v>
      </c>
      <c r="BB48" s="20">
        <f t="shared" si="41"/>
        <v>2118.6563267366196</v>
      </c>
      <c r="BD48" s="4">
        <f t="shared" si="19"/>
        <v>4877.4021944241695</v>
      </c>
      <c r="BE48" s="4">
        <f t="shared" si="20"/>
        <v>5852.8826333090037</v>
      </c>
      <c r="BF48" s="4">
        <f t="shared" si="31"/>
        <v>21705.628342565218</v>
      </c>
      <c r="BG48" s="4">
        <f t="shared" si="32"/>
        <v>1977.4125716208453</v>
      </c>
      <c r="BH48" s="4">
        <f t="shared" si="26"/>
        <v>34413.325741919238</v>
      </c>
    </row>
    <row r="49" spans="1:60" x14ac:dyDescent="0.75">
      <c r="A49">
        <v>2049</v>
      </c>
      <c r="B49" s="4">
        <f t="shared" si="27"/>
        <v>291.58646518378509</v>
      </c>
      <c r="C49" s="12">
        <f t="shared" si="0"/>
        <v>14.579323259189255</v>
      </c>
      <c r="D49" s="12">
        <f t="shared" si="21"/>
        <v>15.957468243888712</v>
      </c>
      <c r="E49" s="7">
        <f t="shared" si="33"/>
        <v>15.771232887147905</v>
      </c>
      <c r="F49" s="14">
        <f t="shared" si="2"/>
        <v>0.98832926665468179</v>
      </c>
      <c r="G49" s="3">
        <f t="shared" si="34"/>
        <v>191.73567907901094</v>
      </c>
      <c r="H49" s="3">
        <f t="shared" si="3"/>
        <v>99.850786104774159</v>
      </c>
      <c r="I49" s="21">
        <f t="shared" si="4"/>
        <v>0.65756028476205564</v>
      </c>
      <c r="J49" s="4">
        <f t="shared" si="5"/>
        <v>3350527.705527965</v>
      </c>
      <c r="K49" s="3">
        <f t="shared" si="6"/>
        <v>9.1223421623138208</v>
      </c>
      <c r="L49" s="4">
        <f t="shared" si="7"/>
        <v>168511.51166439563</v>
      </c>
      <c r="M49" s="4">
        <f t="shared" si="8"/>
        <v>153.19228333126873</v>
      </c>
      <c r="N49" s="7">
        <f t="shared" si="9"/>
        <v>15.319228333126915</v>
      </c>
      <c r="O49" s="7">
        <f t="shared" si="22"/>
        <v>7.3706125425159499</v>
      </c>
      <c r="P49" s="4">
        <f t="shared" si="10"/>
        <v>481250.37674967793</v>
      </c>
      <c r="Q49" s="4">
        <f t="shared" si="11"/>
        <v>5729.3913965894517</v>
      </c>
      <c r="R49" s="4">
        <f t="shared" si="12"/>
        <v>1591.4976101637365</v>
      </c>
      <c r="S49" s="3">
        <f t="shared" si="13"/>
        <v>382.98070832817291</v>
      </c>
      <c r="T49" s="2">
        <f t="shared" si="14"/>
        <v>481.25037674967791</v>
      </c>
      <c r="U49" s="3"/>
      <c r="AC49" s="2">
        <f t="shared" si="16"/>
        <v>1.5289385689970352</v>
      </c>
      <c r="AD49" s="2">
        <f t="shared" si="17"/>
        <v>6.6915196960100758</v>
      </c>
      <c r="AF49" s="2">
        <f t="shared" si="42"/>
        <v>1.446138216144401</v>
      </c>
      <c r="AG49" s="2">
        <f t="shared" si="35"/>
        <v>6.7401329973309387</v>
      </c>
      <c r="AH49" s="3">
        <f t="shared" si="36"/>
        <v>289.2276432288802</v>
      </c>
      <c r="AI49" s="2">
        <f t="shared" si="37"/>
        <v>0.60099203492015507</v>
      </c>
      <c r="AJ49" s="24"/>
      <c r="AK49" s="2">
        <f t="shared" si="43"/>
        <v>-17.954999999999998</v>
      </c>
      <c r="AN49" s="21">
        <f t="shared" si="38"/>
        <v>-0.10929437251290472</v>
      </c>
      <c r="AO49" s="21">
        <f t="shared" si="39"/>
        <v>-0.12301531105348586</v>
      </c>
      <c r="AP49" s="21">
        <f t="shared" si="40"/>
        <v>-6.4779339331356905E-2</v>
      </c>
      <c r="AS49" s="16">
        <f t="shared" si="18"/>
        <v>2.3162673239687894</v>
      </c>
      <c r="AT49" s="16"/>
      <c r="AU49" s="20">
        <f t="shared" si="24"/>
        <v>8.6768292968664049</v>
      </c>
      <c r="AX49" s="18">
        <f t="shared" si="25"/>
        <v>1820.0933573147406</v>
      </c>
      <c r="AY49" s="18">
        <f t="shared" si="25"/>
        <v>695.91804838504788</v>
      </c>
      <c r="AZ49" s="20">
        <f t="shared" si="41"/>
        <v>723.06910807220049</v>
      </c>
      <c r="BA49" s="20">
        <f t="shared" si="41"/>
        <v>1446.138216144401</v>
      </c>
      <c r="BB49" s="20">
        <f t="shared" si="41"/>
        <v>2169.2073242166016</v>
      </c>
      <c r="BD49" s="4">
        <f t="shared" si="19"/>
        <v>4595.7684999380745</v>
      </c>
      <c r="BE49" s="4">
        <f t="shared" si="20"/>
        <v>5514.9221999256897</v>
      </c>
      <c r="BF49" s="4">
        <f t="shared" si="31"/>
        <v>20220.398991992817</v>
      </c>
      <c r="BG49" s="4">
        <f t="shared" si="32"/>
        <v>2024.5935026021616</v>
      </c>
      <c r="BH49" s="4">
        <f t="shared" si="26"/>
        <v>32355.683194458743</v>
      </c>
    </row>
    <row r="50" spans="1:60" x14ac:dyDescent="0.75">
      <c r="A50">
        <v>2050</v>
      </c>
      <c r="B50" s="4">
        <f t="shared" si="27"/>
        <v>293.04439750970397</v>
      </c>
      <c r="C50" s="12">
        <f t="shared" si="0"/>
        <v>14.6522198754852</v>
      </c>
      <c r="D50" s="12">
        <f t="shared" si="21"/>
        <v>16.037255585108131</v>
      </c>
      <c r="E50" s="7">
        <f t="shared" si="33"/>
        <v>15.850379484175615</v>
      </c>
      <c r="F50" s="14">
        <f t="shared" si="2"/>
        <v>0.98834737652332205</v>
      </c>
      <c r="G50" s="3">
        <f t="shared" si="34"/>
        <v>197.99927460923601</v>
      </c>
      <c r="H50" s="3">
        <f t="shared" si="3"/>
        <v>95.045122900467959</v>
      </c>
      <c r="I50" s="21">
        <f t="shared" si="4"/>
        <v>0.67566306092809503</v>
      </c>
      <c r="J50" s="4">
        <f t="shared" si="5"/>
        <v>3367280.3440556042</v>
      </c>
      <c r="K50" s="3">
        <f t="shared" si="6"/>
        <v>9.0311187406906814</v>
      </c>
      <c r="L50" s="4">
        <f t="shared" si="7"/>
        <v>158797.30126796805</v>
      </c>
      <c r="M50" s="4">
        <f t="shared" si="8"/>
        <v>144.36118297088004</v>
      </c>
      <c r="N50" s="7">
        <f t="shared" si="9"/>
        <v>14.436118297088029</v>
      </c>
      <c r="O50" s="7">
        <f t="shared" si="22"/>
        <v>7.4443186679411095</v>
      </c>
      <c r="P50" s="4">
        <f t="shared" si="10"/>
        <v>492051.28684851772</v>
      </c>
      <c r="Q50" s="4">
        <f t="shared" si="11"/>
        <v>5399.1082431109135</v>
      </c>
      <c r="R50" s="4">
        <f t="shared" si="12"/>
        <v>1499.7522897530314</v>
      </c>
      <c r="S50" s="3">
        <f t="shared" si="13"/>
        <v>360.9029574272007</v>
      </c>
      <c r="T50" s="2">
        <f t="shared" si="14"/>
        <v>492.05128684851769</v>
      </c>
      <c r="U50" s="3"/>
      <c r="AC50" s="2">
        <f t="shared" si="16"/>
        <v>1.4407275633831604</v>
      </c>
      <c r="AD50" s="2">
        <f t="shared" si="17"/>
        <v>6.2430270334777447</v>
      </c>
      <c r="AF50" s="2">
        <f t="shared" si="42"/>
        <v>1.4775327025216642</v>
      </c>
      <c r="AG50" s="2">
        <f t="shared" si="35"/>
        <v>6.2788972754526551</v>
      </c>
      <c r="AH50" s="3">
        <f t="shared" si="36"/>
        <v>295.50654050433286</v>
      </c>
      <c r="AI50" s="2">
        <f t="shared" si="37"/>
        <v>0.60056044644652484</v>
      </c>
      <c r="AJ50" s="24"/>
      <c r="AK50" s="2">
        <f t="shared" si="43"/>
        <v>-17.954999999999998</v>
      </c>
      <c r="AN50" s="21">
        <f t="shared" si="38"/>
        <v>-0.11159956207207442</v>
      </c>
      <c r="AO50" s="21">
        <f t="shared" si="39"/>
        <v>-0.12560989670449935</v>
      </c>
      <c r="AP50" s="21">
        <f t="shared" si="40"/>
        <v>-6.6145637094390614E-2</v>
      </c>
      <c r="AS50" s="16">
        <f t="shared" si="18"/>
        <v>2.1827410865197101</v>
      </c>
      <c r="AT50" s="16"/>
      <c r="AU50" s="20">
        <f t="shared" si="24"/>
        <v>8.8651962151299859</v>
      </c>
      <c r="AX50" s="18">
        <f t="shared" si="25"/>
        <v>1698.1033531059466</v>
      </c>
      <c r="AY50" s="18">
        <f t="shared" si="25"/>
        <v>649.27481148168545</v>
      </c>
      <c r="AZ50" s="20">
        <f t="shared" si="41"/>
        <v>738.76635126083215</v>
      </c>
      <c r="BA50" s="20">
        <f t="shared" si="41"/>
        <v>1477.5327025216643</v>
      </c>
      <c r="BB50" s="20">
        <f t="shared" si="41"/>
        <v>2216.2990537824962</v>
      </c>
      <c r="BD50" s="4">
        <f t="shared" si="19"/>
        <v>4330.8354891264089</v>
      </c>
      <c r="BE50" s="4">
        <f t="shared" si="20"/>
        <v>5197.0025869516903</v>
      </c>
      <c r="BF50" s="4">
        <f t="shared" si="31"/>
        <v>18836.691826357965</v>
      </c>
      <c r="BG50" s="4">
        <f t="shared" si="32"/>
        <v>2068.54578353033</v>
      </c>
      <c r="BH50" s="4">
        <f t="shared" si="26"/>
        <v>30433.075685966396</v>
      </c>
    </row>
  </sheetData>
  <hyperlinks>
    <hyperlink ref="AQ2" r:id="rId1" xr:uid="{6EBB4F38-EBA2-4A68-A296-8BD186B2552D}"/>
    <hyperlink ref="AN8" r:id="rId2" xr:uid="{D2E69272-D16E-4F6A-9518-9766D835F3EA}"/>
  </hyperlinks>
  <pageMargins left="0.7" right="0.7" top="0.75" bottom="0.75" header="0.3" footer="0.3"/>
  <pageSetup orientation="portrait" r:id="rId3"/>
  <drawing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5A83D-C9C7-4E46-B802-00CC46BCC90B}">
  <dimension ref="A1:AH43"/>
  <sheetViews>
    <sheetView topLeftCell="R1" workbookViewId="0">
      <selection activeCell="Z14" sqref="Z14"/>
    </sheetView>
  </sheetViews>
  <sheetFormatPr defaultRowHeight="14.75" x14ac:dyDescent="0.75"/>
  <cols>
    <col min="1" max="1" width="12.453125" customWidth="1"/>
    <col min="5" max="5" width="5.08984375" style="34" customWidth="1"/>
    <col min="6" max="6" width="12.54296875" customWidth="1"/>
    <col min="7" max="7" width="8.86328125" customWidth="1"/>
    <col min="8" max="8" width="9" customWidth="1"/>
    <col min="9" max="9" width="8.86328125" customWidth="1"/>
    <col min="10" max="10" width="15.86328125" customWidth="1"/>
    <col min="14" max="14" width="6.86328125" style="33" customWidth="1"/>
    <col min="15" max="15" width="12.08984375" customWidth="1"/>
    <col min="16" max="16" width="7.6796875" customWidth="1"/>
    <col min="19" max="19" width="9" style="30" customWidth="1"/>
    <col min="20" max="20" width="16.54296875" customWidth="1"/>
    <col min="29" max="29" width="12.31640625" customWidth="1"/>
  </cols>
  <sheetData>
    <row r="1" spans="1:34" ht="73.75" x14ac:dyDescent="0.75">
      <c r="A1" s="36" t="s">
        <v>101</v>
      </c>
      <c r="B1" s="34" t="s">
        <v>70</v>
      </c>
      <c r="C1" s="34"/>
      <c r="D1" s="34"/>
      <c r="F1" s="6" t="s">
        <v>106</v>
      </c>
      <c r="G1" t="s">
        <v>107</v>
      </c>
      <c r="J1" s="31" t="s">
        <v>102</v>
      </c>
      <c r="K1" s="32" t="s">
        <v>103</v>
      </c>
      <c r="L1" s="33"/>
      <c r="M1" s="33"/>
      <c r="O1" s="37" t="s">
        <v>105</v>
      </c>
      <c r="P1" s="30" t="s">
        <v>104</v>
      </c>
      <c r="Q1" s="30"/>
      <c r="R1" s="30"/>
      <c r="T1" s="6" t="str">
        <f>'main calculations'!AI9</f>
        <v>Ethanol substituted PV fraction of total EV use</v>
      </c>
      <c r="U1" t="s">
        <v>74</v>
      </c>
      <c r="V1" s="5">
        <v>7.0000000000000007E-2</v>
      </c>
      <c r="W1" s="6" t="str">
        <f>'main calculations'!AF6</f>
        <v>Fraction corn acreage replaced by PV</v>
      </c>
      <c r="X1" s="5">
        <v>0.1</v>
      </c>
      <c r="Y1" s="5">
        <v>0.05</v>
      </c>
      <c r="AB1" t="s">
        <v>0</v>
      </c>
      <c r="AC1" s="6" t="s">
        <v>75</v>
      </c>
      <c r="AG1" s="6" t="s">
        <v>76</v>
      </c>
      <c r="AH1" s="6" t="s">
        <v>77</v>
      </c>
    </row>
    <row r="2" spans="1:34" x14ac:dyDescent="0.75">
      <c r="A2" t="s">
        <v>0</v>
      </c>
      <c r="B2" t="s">
        <v>71</v>
      </c>
      <c r="C2" t="s">
        <v>72</v>
      </c>
      <c r="D2" t="s">
        <v>73</v>
      </c>
      <c r="F2" t="s">
        <v>0</v>
      </c>
      <c r="G2" t="s">
        <v>71</v>
      </c>
      <c r="H2" t="s">
        <v>72</v>
      </c>
      <c r="I2" t="s">
        <v>73</v>
      </c>
      <c r="J2" t="s">
        <v>0</v>
      </c>
      <c r="K2" t="s">
        <v>71</v>
      </c>
      <c r="L2" t="s">
        <v>72</v>
      </c>
      <c r="M2" t="s">
        <v>73</v>
      </c>
      <c r="O2" t="s">
        <v>0</v>
      </c>
      <c r="P2" t="s">
        <v>71</v>
      </c>
      <c r="Q2" t="s">
        <v>72</v>
      </c>
      <c r="R2" t="s">
        <v>73</v>
      </c>
      <c r="T2" t="s">
        <v>0</v>
      </c>
      <c r="U2" t="s">
        <v>71</v>
      </c>
      <c r="V2" t="s">
        <v>72</v>
      </c>
      <c r="W2" t="s">
        <v>73</v>
      </c>
      <c r="X2" t="s">
        <v>71</v>
      </c>
      <c r="Y2" t="s">
        <v>73</v>
      </c>
    </row>
    <row r="3" spans="1:34" x14ac:dyDescent="0.75">
      <c r="A3">
        <v>2010</v>
      </c>
      <c r="B3" s="21">
        <v>1.6508690087574258E-5</v>
      </c>
      <c r="C3" s="21">
        <v>1.6508690087574258E-5</v>
      </c>
      <c r="D3" s="21">
        <v>1.6508690087574258E-5</v>
      </c>
      <c r="F3">
        <v>2010</v>
      </c>
      <c r="G3" s="38">
        <v>8.5714285714285713E-5</v>
      </c>
      <c r="H3" s="38">
        <v>8.5714285714285713E-5</v>
      </c>
      <c r="I3" s="38">
        <v>8.5714285714285713E-5</v>
      </c>
      <c r="J3">
        <v>2010</v>
      </c>
      <c r="K3" s="3">
        <v>54.196456363636457</v>
      </c>
      <c r="L3" s="3">
        <v>54.196456363636457</v>
      </c>
      <c r="M3" s="3">
        <v>54.196456363636457</v>
      </c>
      <c r="N3" s="35"/>
      <c r="O3">
        <v>2010</v>
      </c>
      <c r="P3" s="2">
        <v>37.652274947368412</v>
      </c>
      <c r="Q3" s="2">
        <v>37.652274947368412</v>
      </c>
      <c r="R3" s="2">
        <v>37.652274947368412</v>
      </c>
      <c r="T3">
        <v>2010</v>
      </c>
    </row>
    <row r="4" spans="1:34" x14ac:dyDescent="0.75">
      <c r="A4">
        <v>2011</v>
      </c>
      <c r="B4" s="21">
        <v>9.4708506588913845E-5</v>
      </c>
      <c r="C4" s="21">
        <v>9.4708506588913845E-5</v>
      </c>
      <c r="D4" s="21">
        <v>9.4708506588913845E-5</v>
      </c>
      <c r="F4">
        <v>2011</v>
      </c>
      <c r="G4" s="38">
        <v>7.1958346397199579E-4</v>
      </c>
      <c r="H4" s="38">
        <v>7.1958346397199579E-4</v>
      </c>
      <c r="I4" s="38">
        <v>7.1958346397199579E-4</v>
      </c>
      <c r="J4">
        <v>2011</v>
      </c>
      <c r="K4" s="3">
        <v>54.142067069999939</v>
      </c>
      <c r="L4" s="3">
        <v>54.142067069999939</v>
      </c>
      <c r="M4" s="3">
        <v>54.142067069999939</v>
      </c>
      <c r="N4" s="35"/>
      <c r="O4">
        <v>2011</v>
      </c>
      <c r="P4" s="2">
        <v>37.223456292906178</v>
      </c>
      <c r="Q4" s="2">
        <v>37.223456292906178</v>
      </c>
      <c r="R4" s="2">
        <v>37.223456292906178</v>
      </c>
      <c r="T4">
        <v>2011</v>
      </c>
    </row>
    <row r="5" spans="1:34" x14ac:dyDescent="0.75">
      <c r="A5">
        <v>2012</v>
      </c>
      <c r="B5" s="21">
        <v>3.2452500356977505E-4</v>
      </c>
      <c r="C5" s="21">
        <v>3.2452500356977505E-4</v>
      </c>
      <c r="D5" s="21">
        <v>3.2452500356977505E-4</v>
      </c>
      <c r="F5">
        <v>2012</v>
      </c>
      <c r="G5" s="38">
        <v>1.4381750134349542E-3</v>
      </c>
      <c r="H5" s="38">
        <v>1.4381750134349542E-3</v>
      </c>
      <c r="I5" s="38">
        <v>1.4381750134349542E-3</v>
      </c>
      <c r="J5">
        <v>2012</v>
      </c>
      <c r="K5" s="3">
        <v>53.315023608000047</v>
      </c>
      <c r="L5" s="3">
        <v>53.315023608000047</v>
      </c>
      <c r="M5" s="3">
        <v>53.315023608000047</v>
      </c>
      <c r="N5" s="35"/>
      <c r="O5">
        <v>2012</v>
      </c>
      <c r="P5" s="2">
        <v>36.273795695006619</v>
      </c>
      <c r="Q5" s="2">
        <v>36.273795695006619</v>
      </c>
      <c r="R5" s="2">
        <v>36.273795695006619</v>
      </c>
      <c r="T5">
        <v>2012</v>
      </c>
    </row>
    <row r="6" spans="1:34" x14ac:dyDescent="0.75">
      <c r="A6">
        <v>2013</v>
      </c>
      <c r="B6" s="21">
        <v>7.3720425572586961E-4</v>
      </c>
      <c r="C6" s="21">
        <v>7.3720425572586961E-4</v>
      </c>
      <c r="D6" s="21">
        <v>7.3720425572586961E-4</v>
      </c>
      <c r="F6">
        <v>2013</v>
      </c>
      <c r="G6" s="38">
        <v>3.4878017765990251E-3</v>
      </c>
      <c r="H6" s="38">
        <v>3.4878017765990251E-3</v>
      </c>
      <c r="I6" s="38">
        <v>3.4878017765990251E-3</v>
      </c>
      <c r="J6">
        <v>2013</v>
      </c>
      <c r="K6" s="3">
        <v>53.263903889888979</v>
      </c>
      <c r="L6" s="3">
        <v>53.263903889888979</v>
      </c>
      <c r="M6" s="3">
        <v>53.263903889888979</v>
      </c>
      <c r="N6" s="35"/>
      <c r="O6">
        <v>2013</v>
      </c>
      <c r="P6" s="2">
        <v>35.862282238349273</v>
      </c>
      <c r="Q6" s="2">
        <v>35.862282238349273</v>
      </c>
      <c r="R6" s="2">
        <v>35.862282238349273</v>
      </c>
      <c r="T6">
        <v>2013</v>
      </c>
    </row>
    <row r="7" spans="1:34" x14ac:dyDescent="0.75">
      <c r="A7">
        <v>2014</v>
      </c>
      <c r="B7" s="21">
        <v>1.2201438170895023E-3</v>
      </c>
      <c r="C7" s="21">
        <v>1.2201438170895023E-3</v>
      </c>
      <c r="D7" s="21">
        <v>1.2201438170895023E-3</v>
      </c>
      <c r="F7">
        <v>2014</v>
      </c>
      <c r="G7" s="38">
        <v>3.930450981817297E-3</v>
      </c>
      <c r="H7" s="38">
        <v>3.930450981817297E-3</v>
      </c>
      <c r="I7" s="38">
        <v>3.930450981817297E-3</v>
      </c>
      <c r="J7">
        <v>2014</v>
      </c>
      <c r="K7" s="3">
        <v>53.691384929330638</v>
      </c>
      <c r="L7" s="3">
        <v>53.691384929330638</v>
      </c>
      <c r="M7" s="3">
        <v>53.691384929330638</v>
      </c>
      <c r="N7" s="35"/>
      <c r="O7">
        <v>2014</v>
      </c>
      <c r="P7" s="2">
        <v>35.774293823756508</v>
      </c>
      <c r="Q7" s="2">
        <v>35.774293823756508</v>
      </c>
      <c r="R7" s="2">
        <v>35.774293823756508</v>
      </c>
      <c r="T7">
        <v>2014</v>
      </c>
    </row>
    <row r="8" spans="1:34" x14ac:dyDescent="0.75">
      <c r="A8">
        <v>2015</v>
      </c>
      <c r="B8" s="21">
        <v>1.6667055564629841E-3</v>
      </c>
      <c r="C8" s="21">
        <v>1.6667055564629841E-3</v>
      </c>
      <c r="D8" s="21">
        <v>1.6667055564629841E-3</v>
      </c>
      <c r="F8">
        <v>2015</v>
      </c>
      <c r="G8" s="38">
        <v>4.9995264533042481E-3</v>
      </c>
      <c r="H8" s="38">
        <v>4.9995264533042481E-3</v>
      </c>
      <c r="I8" s="38">
        <v>4.9995264533042481E-3</v>
      </c>
      <c r="J8">
        <v>2015</v>
      </c>
      <c r="K8" s="3">
        <v>53.648763287860106</v>
      </c>
      <c r="L8" s="3">
        <v>53.648763287860106</v>
      </c>
      <c r="M8" s="3">
        <v>53.648763287860106</v>
      </c>
      <c r="N8" s="35"/>
      <c r="O8">
        <v>2015</v>
      </c>
      <c r="P8" s="2">
        <v>35.374288344050491</v>
      </c>
      <c r="Q8" s="2">
        <v>35.374288344050491</v>
      </c>
      <c r="R8" s="2">
        <v>35.374288344050491</v>
      </c>
      <c r="T8">
        <v>2015</v>
      </c>
    </row>
    <row r="9" spans="1:34" x14ac:dyDescent="0.75">
      <c r="A9">
        <v>2016</v>
      </c>
      <c r="B9" s="21">
        <v>2.3310519014840209E-3</v>
      </c>
      <c r="C9" s="21">
        <v>2.3310519014840209E-3</v>
      </c>
      <c r="D9" s="21">
        <v>2.3310519014840209E-3</v>
      </c>
      <c r="F9">
        <v>2016</v>
      </c>
      <c r="G9" s="38">
        <v>5.263119686971413E-3</v>
      </c>
      <c r="H9" s="38">
        <v>5.263119686971413E-3</v>
      </c>
      <c r="I9" s="38">
        <v>5.263119686971413E-3</v>
      </c>
      <c r="J9">
        <v>2016</v>
      </c>
      <c r="K9" s="3">
        <v>54.078870728847846</v>
      </c>
      <c r="L9" s="3">
        <v>54.078870728847846</v>
      </c>
      <c r="M9" s="3">
        <v>54.078870728847846</v>
      </c>
      <c r="N9" s="35"/>
      <c r="O9">
        <v>2016</v>
      </c>
      <c r="P9" s="2">
        <v>35.287195523149855</v>
      </c>
      <c r="Q9" s="2">
        <v>35.287195523149855</v>
      </c>
      <c r="R9" s="2">
        <v>35.287195523149855</v>
      </c>
      <c r="T9">
        <v>2016</v>
      </c>
    </row>
    <row r="10" spans="1:34" x14ac:dyDescent="0.75">
      <c r="A10">
        <v>2017</v>
      </c>
      <c r="B10" s="21">
        <v>3.0951191193245801E-3</v>
      </c>
      <c r="C10" s="21">
        <v>3.0951191193245801E-3</v>
      </c>
      <c r="D10" s="21">
        <v>3.0951191193245801E-3</v>
      </c>
      <c r="F10">
        <v>2017</v>
      </c>
      <c r="G10" s="38">
        <v>7.5475457645437592E-3</v>
      </c>
      <c r="H10" s="38">
        <v>7.5475457645437592E-3</v>
      </c>
      <c r="I10" s="38">
        <v>7.5475457645437592E-3</v>
      </c>
      <c r="J10">
        <v>2017</v>
      </c>
      <c r="K10" s="3">
        <v>53.72091333347521</v>
      </c>
      <c r="L10" s="3">
        <v>53.72091333347521</v>
      </c>
      <c r="M10" s="3">
        <v>53.72091333347521</v>
      </c>
      <c r="N10" s="35"/>
      <c r="O10">
        <v>2017</v>
      </c>
      <c r="P10" s="2">
        <v>34.689213289363721</v>
      </c>
      <c r="Q10" s="2">
        <v>34.689213289363721</v>
      </c>
      <c r="R10" s="2">
        <v>34.689213289363721</v>
      </c>
      <c r="T10">
        <v>2017</v>
      </c>
    </row>
    <row r="11" spans="1:34" x14ac:dyDescent="0.75">
      <c r="A11">
        <v>2018</v>
      </c>
      <c r="B11" s="21">
        <v>4.5038958740261223E-3</v>
      </c>
      <c r="C11" s="21">
        <v>4.5038958740261223E-3</v>
      </c>
      <c r="D11" s="21">
        <v>4.5038958740261223E-3</v>
      </c>
      <c r="F11">
        <v>2018</v>
      </c>
      <c r="G11" s="38">
        <v>1.5581284379925708E-2</v>
      </c>
      <c r="H11" s="38">
        <v>1.5581284379925708E-2</v>
      </c>
      <c r="I11" s="38">
        <v>1.5581284379925708E-2</v>
      </c>
      <c r="J11">
        <v>2018</v>
      </c>
      <c r="K11" s="3">
        <v>53.784592392207855</v>
      </c>
      <c r="L11" s="3">
        <v>53.784592392207855</v>
      </c>
      <c r="M11" s="3">
        <v>53.784592392207855</v>
      </c>
      <c r="N11" s="35"/>
      <c r="O11">
        <v>2018</v>
      </c>
      <c r="P11" s="2">
        <v>34.369283454659062</v>
      </c>
      <c r="Q11" s="2">
        <v>34.369283454659062</v>
      </c>
      <c r="R11" s="2">
        <v>34.369283454659062</v>
      </c>
      <c r="T11">
        <v>2018</v>
      </c>
    </row>
    <row r="12" spans="1:34" x14ac:dyDescent="0.75">
      <c r="A12">
        <v>2019</v>
      </c>
      <c r="B12" s="21">
        <v>5.7754056558723043E-3</v>
      </c>
      <c r="C12" s="21">
        <v>5.7754056558723043E-3</v>
      </c>
      <c r="D12" s="21">
        <v>5.7754056558723043E-3</v>
      </c>
      <c r="F12">
        <v>2019</v>
      </c>
      <c r="G12" s="38">
        <v>1.618920250303833E-2</v>
      </c>
      <c r="H12" s="38">
        <v>1.618920250303833E-2</v>
      </c>
      <c r="I12" s="38">
        <v>1.618920250303833E-2</v>
      </c>
      <c r="J12">
        <v>2019</v>
      </c>
      <c r="K12" s="3">
        <v>53.690054013545705</v>
      </c>
      <c r="L12" s="3">
        <v>53.690054013545705</v>
      </c>
      <c r="M12" s="3">
        <v>53.690054013545705</v>
      </c>
      <c r="N12" s="35"/>
      <c r="O12">
        <v>2019</v>
      </c>
      <c r="P12" s="2">
        <v>33.952203895990145</v>
      </c>
      <c r="Q12" s="2">
        <v>33.952203895990145</v>
      </c>
      <c r="R12" s="2">
        <v>33.952203895990145</v>
      </c>
      <c r="T12">
        <v>2019</v>
      </c>
    </row>
    <row r="13" spans="1:34" x14ac:dyDescent="0.75">
      <c r="A13">
        <v>2020</v>
      </c>
      <c r="B13" s="21">
        <v>6.8960067532803648E-3</v>
      </c>
      <c r="C13" s="21">
        <v>6.8960067532803648E-3</v>
      </c>
      <c r="D13" s="21">
        <v>6.8960067532803648E-3</v>
      </c>
      <c r="F13">
        <v>2020</v>
      </c>
      <c r="G13" s="38">
        <v>1.6656342330415467E-2</v>
      </c>
      <c r="H13" s="38">
        <v>1.6656342330415467E-2</v>
      </c>
      <c r="I13" s="38">
        <v>1.6656342330415467E-2</v>
      </c>
      <c r="J13">
        <v>2020</v>
      </c>
      <c r="K13" s="3">
        <v>53.358710209674882</v>
      </c>
      <c r="L13" s="3">
        <v>53.358710209674882</v>
      </c>
      <c r="M13" s="3">
        <v>53.358710209674882</v>
      </c>
      <c r="N13" s="35"/>
      <c r="O13">
        <v>2020</v>
      </c>
      <c r="P13" s="2">
        <v>33.391888837389843</v>
      </c>
      <c r="Q13" s="2">
        <v>33.391888837389843</v>
      </c>
      <c r="R13" s="2">
        <v>33.391888837389843</v>
      </c>
      <c r="T13">
        <v>2020</v>
      </c>
      <c r="AB13">
        <v>2020</v>
      </c>
      <c r="AG13" s="15">
        <v>2.572652099395043</v>
      </c>
    </row>
    <row r="14" spans="1:34" x14ac:dyDescent="0.75">
      <c r="A14">
        <v>2021</v>
      </c>
      <c r="B14" s="21">
        <v>8.7545805411347929E-3</v>
      </c>
      <c r="C14" s="21">
        <v>8.7545805411347929E-3</v>
      </c>
      <c r="D14" s="21">
        <v>8.7545805411347929E-3</v>
      </c>
      <c r="F14">
        <v>2021</v>
      </c>
      <c r="G14" s="38">
        <v>3.3867535778910912E-2</v>
      </c>
      <c r="H14" s="38">
        <v>3.3867535778910912E-2</v>
      </c>
      <c r="I14" s="38">
        <v>3.3867535778910912E-2</v>
      </c>
      <c r="J14">
        <v>2021</v>
      </c>
      <c r="K14" s="3">
        <v>52.989893281224226</v>
      </c>
      <c r="L14" s="3">
        <v>52.989893281224226</v>
      </c>
      <c r="M14" s="3">
        <v>52.989893281224226</v>
      </c>
      <c r="N14" s="35"/>
      <c r="O14">
        <v>2021</v>
      </c>
      <c r="P14" s="2">
        <v>32.816347418717221</v>
      </c>
      <c r="Q14" s="2">
        <v>32.816347418717221</v>
      </c>
      <c r="R14" s="2">
        <v>32.816347418717221</v>
      </c>
      <c r="T14">
        <v>2021</v>
      </c>
      <c r="AB14">
        <v>2021</v>
      </c>
      <c r="AG14" s="15">
        <v>2.5548698546304509</v>
      </c>
    </row>
    <row r="15" spans="1:34" x14ac:dyDescent="0.75">
      <c r="A15">
        <v>2022</v>
      </c>
      <c r="B15" s="21">
        <v>1.1343608370684053E-2</v>
      </c>
      <c r="C15" s="21">
        <v>1.3070901685604753E-2</v>
      </c>
      <c r="D15" s="21">
        <v>1.5325005742171598E-2</v>
      </c>
      <c r="F15">
        <v>2022</v>
      </c>
      <c r="G15" s="38">
        <v>4.291288017918158E-2</v>
      </c>
      <c r="H15" s="38">
        <v>4.7601194323540999E-2</v>
      </c>
      <c r="I15" s="38">
        <v>5.1931373359650743E-2</v>
      </c>
      <c r="J15">
        <v>2022</v>
      </c>
      <c r="K15" s="3">
        <v>52.623151249313537</v>
      </c>
      <c r="L15" s="3">
        <v>52.608935976244538</v>
      </c>
      <c r="M15" s="3">
        <v>52.596616072917982</v>
      </c>
      <c r="N15" s="35"/>
      <c r="O15">
        <v>2022</v>
      </c>
      <c r="P15" s="2">
        <v>32.22680233891905</v>
      </c>
      <c r="Q15" s="2">
        <v>32.1704985100938</v>
      </c>
      <c r="R15" s="2">
        <v>32.097022460682318</v>
      </c>
      <c r="T15">
        <v>2022</v>
      </c>
      <c r="AB15">
        <v>2022</v>
      </c>
      <c r="AG15" s="15">
        <v>2.5371739419357313</v>
      </c>
    </row>
    <row r="16" spans="1:34" x14ac:dyDescent="0.75">
      <c r="A16">
        <v>2023</v>
      </c>
      <c r="B16" s="21">
        <v>1.454106717866418E-2</v>
      </c>
      <c r="C16" s="21">
        <v>1.8656377786147531E-2</v>
      </c>
      <c r="D16" s="21">
        <v>2.4153076371697974E-2</v>
      </c>
      <c r="F16">
        <v>2023</v>
      </c>
      <c r="G16" s="38">
        <v>5.4264752680753953E-2</v>
      </c>
      <c r="H16" s="38">
        <v>6.6626245004332535E-2</v>
      </c>
      <c r="I16" s="38">
        <v>7.9107160815128558E-2</v>
      </c>
      <c r="J16">
        <v>2023</v>
      </c>
      <c r="K16" s="3">
        <v>52.231710022249217</v>
      </c>
      <c r="L16" s="3">
        <v>52.181049190462545</v>
      </c>
      <c r="M16" s="3">
        <v>52.134099436421593</v>
      </c>
      <c r="N16" s="35"/>
      <c r="O16">
        <v>2023</v>
      </c>
      <c r="P16" s="2">
        <v>31.62810392367723</v>
      </c>
      <c r="Q16" s="2">
        <v>31.496023867130322</v>
      </c>
      <c r="R16" s="2">
        <v>31.319608444517829</v>
      </c>
      <c r="T16">
        <v>2023</v>
      </c>
      <c r="AB16">
        <v>2023</v>
      </c>
      <c r="AG16" s="15">
        <v>2.5182675347631776</v>
      </c>
    </row>
    <row r="17" spans="1:34" x14ac:dyDescent="0.75">
      <c r="A17">
        <v>2024</v>
      </c>
      <c r="B17" s="21">
        <v>1.8486018361582101E-2</v>
      </c>
      <c r="C17" s="21">
        <v>2.5866549361399021E-2</v>
      </c>
      <c r="D17" s="21">
        <v>3.5927683900739041E-2</v>
      </c>
      <c r="F17">
        <v>2024</v>
      </c>
      <c r="G17" s="38">
        <v>6.844610741480199E-2</v>
      </c>
      <c r="H17" s="38">
        <v>9.2716591528060277E-2</v>
      </c>
      <c r="I17" s="38">
        <v>0.11930619189248921</v>
      </c>
      <c r="J17">
        <v>2024</v>
      </c>
      <c r="K17" s="3">
        <v>51.809474475573893</v>
      </c>
      <c r="L17" s="3">
        <v>51.688976803933883</v>
      </c>
      <c r="M17" s="3">
        <v>51.569802473040454</v>
      </c>
      <c r="N17" s="35"/>
      <c r="O17">
        <v>2024</v>
      </c>
      <c r="P17" s="2">
        <v>31.016579815072099</v>
      </c>
      <c r="Q17" s="2">
        <v>30.783349486094714</v>
      </c>
      <c r="R17" s="2">
        <v>30.465410069736411</v>
      </c>
      <c r="T17">
        <v>2024</v>
      </c>
      <c r="AB17">
        <v>2024</v>
      </c>
      <c r="AG17" s="15">
        <v>2.4978489997409983</v>
      </c>
    </row>
    <row r="18" spans="1:34" x14ac:dyDescent="0.75">
      <c r="A18">
        <v>2025</v>
      </c>
      <c r="B18" s="21">
        <v>2.3342854583489201E-2</v>
      </c>
      <c r="C18" s="21">
        <v>3.5120034198014155E-2</v>
      </c>
      <c r="D18" s="21">
        <v>5.1409402663309796E-2</v>
      </c>
      <c r="F18">
        <v>2025</v>
      </c>
      <c r="G18" s="38">
        <v>8.6060236528023373E-2</v>
      </c>
      <c r="H18" s="38">
        <v>0.12799594794169747</v>
      </c>
      <c r="I18" s="38">
        <v>0.17726033591532966</v>
      </c>
      <c r="J18">
        <v>2025</v>
      </c>
      <c r="K18" s="3">
        <v>51.349156510419107</v>
      </c>
      <c r="L18" s="3">
        <v>51.110580000674247</v>
      </c>
      <c r="M18" s="3">
        <v>50.860116782375997</v>
      </c>
      <c r="N18" s="35"/>
      <c r="O18">
        <v>2025</v>
      </c>
      <c r="P18" s="2">
        <v>30.38801538134858</v>
      </c>
      <c r="Q18" s="2">
        <v>30.021576537426064</v>
      </c>
      <c r="R18" s="2">
        <v>29.514744040680494</v>
      </c>
      <c r="T18">
        <v>2025</v>
      </c>
      <c r="U18" s="21">
        <v>0.11492142986757703</v>
      </c>
      <c r="V18" s="21">
        <v>0.10844665211241541</v>
      </c>
      <c r="W18" s="21">
        <v>0.10506679223697299</v>
      </c>
      <c r="X18" s="21">
        <v>0.16417347123939574</v>
      </c>
      <c r="Y18" s="21">
        <v>7.5047708740694982E-2</v>
      </c>
      <c r="AB18">
        <v>2025</v>
      </c>
      <c r="AC18" s="3">
        <v>0</v>
      </c>
      <c r="AG18" s="15">
        <v>2.4755570769026494</v>
      </c>
      <c r="AH18" s="15">
        <v>9.8737263372072961E-2</v>
      </c>
    </row>
    <row r="19" spans="1:34" x14ac:dyDescent="0.75">
      <c r="A19">
        <v>2026</v>
      </c>
      <c r="B19" s="21">
        <v>2.9302714556426957E-2</v>
      </c>
      <c r="C19" s="21">
        <v>4.6886003519801885E-2</v>
      </c>
      <c r="D19" s="21">
        <v>7.1331807897909286E-2</v>
      </c>
      <c r="F19">
        <v>2026</v>
      </c>
      <c r="G19" s="38">
        <v>0.1077803804630522</v>
      </c>
      <c r="H19" s="38">
        <v>0.17478078870088384</v>
      </c>
      <c r="I19" s="38">
        <v>0.25764202694744015</v>
      </c>
      <c r="J19">
        <v>2026</v>
      </c>
      <c r="K19" s="3">
        <v>50.842185994822955</v>
      </c>
      <c r="L19" s="3">
        <v>50.41869729137477</v>
      </c>
      <c r="M19" s="3">
        <v>49.951462843500906</v>
      </c>
      <c r="N19" s="35"/>
      <c r="O19">
        <v>2026</v>
      </c>
      <c r="P19" s="2">
        <v>29.737661284299147</v>
      </c>
      <c r="Q19" s="2">
        <v>29.198990887978979</v>
      </c>
      <c r="R19" s="2">
        <v>28.450084857932541</v>
      </c>
      <c r="T19">
        <v>2026</v>
      </c>
      <c r="U19" s="21">
        <v>0.37195522757223581</v>
      </c>
      <c r="V19" s="21">
        <v>0.32490119788594451</v>
      </c>
      <c r="W19" s="21">
        <v>0.29550369654093489</v>
      </c>
      <c r="X19" s="21">
        <v>0.53136461081747965</v>
      </c>
      <c r="Y19" s="21">
        <v>0.21107406895781064</v>
      </c>
      <c r="AB19">
        <v>2026</v>
      </c>
      <c r="AC19" s="2">
        <v>-0.45227275935892503</v>
      </c>
      <c r="AG19" s="15">
        <v>2.4509664328781953</v>
      </c>
      <c r="AH19" s="15">
        <v>0.39494905348829185</v>
      </c>
    </row>
    <row r="20" spans="1:34" x14ac:dyDescent="0.75">
      <c r="A20">
        <v>2027</v>
      </c>
      <c r="B20" s="21">
        <v>3.6583117585069568E-2</v>
      </c>
      <c r="C20" s="21">
        <v>6.1653645118630938E-2</v>
      </c>
      <c r="D20" s="21">
        <v>9.6237884573654467E-2</v>
      </c>
      <c r="F20">
        <v>2027</v>
      </c>
      <c r="G20" s="38">
        <v>0.13432311182814408</v>
      </c>
      <c r="H20" s="38">
        <v>0.2351920906327658</v>
      </c>
      <c r="I20" s="38">
        <v>0.36293441807983945</v>
      </c>
      <c r="J20">
        <v>2027</v>
      </c>
      <c r="K20" s="3">
        <v>50.278701841932161</v>
      </c>
      <c r="L20" s="3">
        <v>49.58217760783657</v>
      </c>
      <c r="M20" s="3">
        <v>48.787358021742136</v>
      </c>
      <c r="N20" s="35"/>
      <c r="O20">
        <v>2027</v>
      </c>
      <c r="P20" s="2">
        <v>29.060296252001393</v>
      </c>
      <c r="Q20" s="2">
        <v>28.304074339538086</v>
      </c>
      <c r="R20" s="2">
        <v>27.260882900237274</v>
      </c>
      <c r="T20">
        <v>2027</v>
      </c>
      <c r="U20" s="21">
        <v>0.6171532452675057</v>
      </c>
      <c r="V20" s="21">
        <v>0.51851557710100638</v>
      </c>
      <c r="W20" s="21">
        <v>0.46205279578308456</v>
      </c>
      <c r="X20" s="21">
        <v>0.88164749323929381</v>
      </c>
      <c r="Y20" s="21">
        <v>0.33003771127363185</v>
      </c>
      <c r="AB20">
        <v>2027</v>
      </c>
      <c r="AC20" s="2">
        <v>-0.97161211046156137</v>
      </c>
      <c r="AG20" s="15">
        <v>2.4235873427781147</v>
      </c>
      <c r="AH20" s="15">
        <v>0.85214472377748918</v>
      </c>
    </row>
    <row r="21" spans="1:34" x14ac:dyDescent="0.75">
      <c r="A21">
        <v>2028</v>
      </c>
      <c r="B21" s="21">
        <v>4.5424770578946248E-2</v>
      </c>
      <c r="C21" s="21">
        <v>7.9878400422074239E-2</v>
      </c>
      <c r="D21" s="21">
        <v>0.1262783256081321</v>
      </c>
      <c r="F21">
        <v>2028</v>
      </c>
      <c r="G21" s="38">
        <v>0.16639847645418979</v>
      </c>
      <c r="H21" s="38">
        <v>0.31044723572942823</v>
      </c>
      <c r="I21" s="38">
        <v>0.48996389331488333</v>
      </c>
      <c r="J21">
        <v>2028</v>
      </c>
      <c r="K21" s="3">
        <v>49.647677425143456</v>
      </c>
      <c r="L21" s="3">
        <v>48.568923220319675</v>
      </c>
      <c r="M21" s="3">
        <v>47.324694928552788</v>
      </c>
      <c r="N21" s="35"/>
      <c r="O21">
        <v>2028</v>
      </c>
      <c r="P21" s="2">
        <v>28.350370251513969</v>
      </c>
      <c r="Q21" s="2">
        <v>27.327115999302023</v>
      </c>
      <c r="R21" s="2">
        <v>25.949063208779567</v>
      </c>
      <c r="T21">
        <v>2028</v>
      </c>
      <c r="U21" s="21">
        <v>0.7677793692358833</v>
      </c>
      <c r="V21" s="21">
        <v>0.62051273671729867</v>
      </c>
      <c r="W21" s="21">
        <v>0.54341001417949353</v>
      </c>
      <c r="X21" s="21">
        <v>1.0968276703369759</v>
      </c>
      <c r="Y21" s="21">
        <v>0.3881500101282096</v>
      </c>
      <c r="AB21">
        <v>2028</v>
      </c>
      <c r="AC21" s="2">
        <v>-1.5538923277906025</v>
      </c>
      <c r="AG21" s="15">
        <v>2.3928723056211143</v>
      </c>
      <c r="AH21" s="15">
        <v>1.3645642121674952</v>
      </c>
    </row>
    <row r="22" spans="1:34" x14ac:dyDescent="0.75">
      <c r="A22">
        <v>2029</v>
      </c>
      <c r="B22" s="21">
        <v>5.6084324164491217E-2</v>
      </c>
      <c r="C22" s="21">
        <v>0.10190506862244837</v>
      </c>
      <c r="D22" s="21">
        <v>0.16105155559684745</v>
      </c>
      <c r="F22">
        <v>2029</v>
      </c>
      <c r="G22" s="38">
        <v>0.20463026179230753</v>
      </c>
      <c r="H22" s="38">
        <v>0.39985574008998093</v>
      </c>
      <c r="I22" s="38">
        <v>0.62677362008949344</v>
      </c>
      <c r="J22">
        <v>2029</v>
      </c>
      <c r="K22" s="3">
        <v>48.937246681042382</v>
      </c>
      <c r="L22" s="3">
        <v>47.351613980893376</v>
      </c>
      <c r="M22" s="3">
        <v>45.557429727742885</v>
      </c>
      <c r="N22" s="35"/>
      <c r="O22">
        <v>2029</v>
      </c>
      <c r="P22" s="2">
        <v>27.6022549367305</v>
      </c>
      <c r="Q22" s="2">
        <v>26.262351487410388</v>
      </c>
      <c r="R22" s="2">
        <v>24.532772824958062</v>
      </c>
      <c r="T22">
        <v>2029</v>
      </c>
      <c r="U22" s="21">
        <v>0.85239665269598586</v>
      </c>
      <c r="V22" s="21">
        <v>0.66727872776760155</v>
      </c>
      <c r="W22" s="21">
        <v>0.57924477698530807</v>
      </c>
      <c r="X22" s="21">
        <v>1.2177095038514081</v>
      </c>
      <c r="Y22" s="21">
        <v>0.41374626927522007</v>
      </c>
      <c r="AB22">
        <v>2029</v>
      </c>
      <c r="AC22" s="2">
        <v>-2.2102123161826484</v>
      </c>
      <c r="AG22" s="15">
        <v>2.358233019446061</v>
      </c>
      <c r="AH22" s="15">
        <v>1.9365428733956964</v>
      </c>
    </row>
    <row r="23" spans="1:34" x14ac:dyDescent="0.75">
      <c r="A23">
        <v>2030</v>
      </c>
      <c r="B23" s="21">
        <v>6.8821883796566757E-2</v>
      </c>
      <c r="C23" s="21">
        <v>0.12787862243274975</v>
      </c>
      <c r="D23" s="21">
        <v>0.19959271202904197</v>
      </c>
      <c r="F23">
        <v>2030</v>
      </c>
      <c r="G23" s="38">
        <v>0.24944319693121858</v>
      </c>
      <c r="H23" s="38">
        <v>0.49982428995761441</v>
      </c>
      <c r="I23" s="38">
        <v>0.75400353399916542</v>
      </c>
      <c r="J23">
        <v>2030</v>
      </c>
      <c r="K23" s="3">
        <v>48.135299567653703</v>
      </c>
      <c r="L23" s="3">
        <v>45.915791107429243</v>
      </c>
      <c r="M23" s="3">
        <v>43.534382903357709</v>
      </c>
      <c r="N23" s="35"/>
      <c r="O23">
        <v>2030</v>
      </c>
      <c r="P23" s="2">
        <v>26.810623550396954</v>
      </c>
      <c r="Q23" s="2">
        <v>25.110252847803071</v>
      </c>
      <c r="R23" s="2">
        <v>23.045449749481993</v>
      </c>
      <c r="T23">
        <v>2030</v>
      </c>
      <c r="U23" s="21">
        <v>0.89232630709054561</v>
      </c>
      <c r="V23" s="21">
        <v>0.68285767404498132</v>
      </c>
      <c r="W23" s="21">
        <v>0.59270706100941573</v>
      </c>
      <c r="X23" s="21">
        <v>1.274751867272208</v>
      </c>
      <c r="Y23" s="21">
        <v>0.42336218643529688</v>
      </c>
      <c r="AB23">
        <v>2030</v>
      </c>
      <c r="AC23" s="2">
        <v>-2.9518566758001623</v>
      </c>
      <c r="AG23" s="15">
        <v>2.3190712297021179</v>
      </c>
      <c r="AH23" s="15">
        <v>2.5686375480165244</v>
      </c>
    </row>
    <row r="24" spans="1:34" x14ac:dyDescent="0.75">
      <c r="A24">
        <v>2031</v>
      </c>
      <c r="B24" s="21">
        <v>8.3882502676975779E-2</v>
      </c>
      <c r="C24" s="21">
        <v>0.15766728909261232</v>
      </c>
      <c r="D24" s="21">
        <v>0.24056144160817905</v>
      </c>
      <c r="F24">
        <v>2031</v>
      </c>
      <c r="G24" s="38">
        <v>0.30092221050606277</v>
      </c>
      <c r="H24" s="38">
        <v>0.60355649430289404</v>
      </c>
      <c r="I24" s="38">
        <v>0.85360554093541219</v>
      </c>
      <c r="J24">
        <v>2031</v>
      </c>
      <c r="K24" s="3">
        <v>47.230396784484867</v>
      </c>
      <c r="L24" s="3">
        <v>44.267975392311371</v>
      </c>
      <c r="M24" s="3">
        <v>41.351228910866098</v>
      </c>
      <c r="N24" s="35"/>
      <c r="O24">
        <v>2031</v>
      </c>
      <c r="P24" s="2">
        <v>25.970967056848917</v>
      </c>
      <c r="Q24" s="2">
        <v>23.879246002621027</v>
      </c>
      <c r="R24" s="2">
        <v>21.529284004866387</v>
      </c>
      <c r="T24">
        <v>2031</v>
      </c>
      <c r="U24" s="21">
        <v>0.9030965516774826</v>
      </c>
      <c r="V24" s="21">
        <v>0.68227786614034636</v>
      </c>
      <c r="W24" s="21">
        <v>0.59623284668765109</v>
      </c>
      <c r="X24" s="21">
        <v>1.2901379309678325</v>
      </c>
      <c r="Y24" s="21">
        <v>0.42588060477689366</v>
      </c>
      <c r="AB24">
        <v>2031</v>
      </c>
      <c r="AC24" s="2">
        <v>-3.789404755973782</v>
      </c>
      <c r="AG24" s="15">
        <v>2.2748259163054114</v>
      </c>
      <c r="AH24" s="15">
        <v>3.2564641443103484</v>
      </c>
    </row>
    <row r="25" spans="1:34" x14ac:dyDescent="0.75">
      <c r="A25">
        <v>2032</v>
      </c>
      <c r="B25" s="21">
        <v>0.1014718830629068</v>
      </c>
      <c r="C25" s="21">
        <v>0.19083061258890355</v>
      </c>
      <c r="D25" s="21">
        <v>0.28254959225543791</v>
      </c>
      <c r="F25">
        <v>2032</v>
      </c>
      <c r="G25" s="38">
        <v>0.35866304880767302</v>
      </c>
      <c r="H25" s="38">
        <v>0.70221628727874563</v>
      </c>
      <c r="I25" s="38">
        <v>0.91898993923431405</v>
      </c>
      <c r="J25">
        <v>2032</v>
      </c>
      <c r="K25" s="3">
        <v>46.213001216870111</v>
      </c>
      <c r="L25" s="3">
        <v>42.439517173868751</v>
      </c>
      <c r="M25" s="3">
        <v>39.114992410882792</v>
      </c>
      <c r="N25" s="35"/>
      <c r="O25">
        <v>2032</v>
      </c>
      <c r="P25" s="2">
        <v>25.080223632728821</v>
      </c>
      <c r="Q25" s="2">
        <v>22.585992369618083</v>
      </c>
      <c r="R25" s="2">
        <v>20.025880473238278</v>
      </c>
      <c r="T25">
        <v>2032</v>
      </c>
      <c r="U25" s="21">
        <v>0.89575743555371778</v>
      </c>
      <c r="V25" s="21">
        <v>0.67441033094140612</v>
      </c>
      <c r="W25" s="21">
        <v>0.59588888060534306</v>
      </c>
      <c r="X25" s="21">
        <v>1.2796534793624541</v>
      </c>
      <c r="Y25" s="21">
        <v>0.42563491471810228</v>
      </c>
      <c r="AB25">
        <v>2032</v>
      </c>
      <c r="AC25" s="2">
        <v>-4.7315387049973285</v>
      </c>
      <c r="AG25" s="15">
        <v>2.2250364385202093</v>
      </c>
      <c r="AH25" s="15">
        <v>3.9903987639984031</v>
      </c>
    </row>
    <row r="26" spans="1:34" x14ac:dyDescent="0.75">
      <c r="A26">
        <v>2033</v>
      </c>
      <c r="B26" s="21">
        <v>0.12172815849522044</v>
      </c>
      <c r="C26" s="21">
        <v>0.22665668438340378</v>
      </c>
      <c r="D26" s="21">
        <v>0.32435069999015381</v>
      </c>
      <c r="F26">
        <v>2033</v>
      </c>
      <c r="G26" s="38">
        <v>0.42165154522398007</v>
      </c>
      <c r="H26" s="38">
        <v>0.78756780897285927</v>
      </c>
      <c r="I26" s="38">
        <v>0.95590099551617125</v>
      </c>
      <c r="J26">
        <v>2033</v>
      </c>
      <c r="K26" s="3">
        <v>45.076930768075727</v>
      </c>
      <c r="L26" s="3">
        <v>40.482414326313346</v>
      </c>
      <c r="M26" s="3">
        <v>36.909059770294448</v>
      </c>
      <c r="N26" s="35"/>
      <c r="O26">
        <v>2033</v>
      </c>
      <c r="P26" s="2">
        <v>24.137455243385592</v>
      </c>
      <c r="Q26" s="2">
        <v>21.253715292163811</v>
      </c>
      <c r="R26" s="2">
        <v>18.568800647497149</v>
      </c>
      <c r="T26">
        <v>2033</v>
      </c>
      <c r="U26" s="21">
        <v>0.87798548376857266</v>
      </c>
      <c r="V26" s="21">
        <v>0.66413331078450877</v>
      </c>
      <c r="W26" s="21">
        <v>0.59431360691586299</v>
      </c>
      <c r="X26" s="21">
        <v>1.2542649768122465</v>
      </c>
      <c r="Y26" s="21">
        <v>0.42450971922561642</v>
      </c>
      <c r="AB26">
        <v>2033</v>
      </c>
      <c r="AC26" s="2">
        <v>-5.7836514112682602</v>
      </c>
      <c r="AG26" s="15">
        <v>2.1694162987242835</v>
      </c>
      <c r="AH26" s="15">
        <v>4.7564990355858736</v>
      </c>
    </row>
    <row r="27" spans="1:34" x14ac:dyDescent="0.75">
      <c r="A27">
        <v>2034</v>
      </c>
      <c r="B27" s="21">
        <v>0.14469368995987258</v>
      </c>
      <c r="C27" s="21">
        <v>0.26426511691230625</v>
      </c>
      <c r="D27" s="21">
        <v>0.36508766060721715</v>
      </c>
      <c r="F27">
        <v>2034</v>
      </c>
      <c r="G27" s="38">
        <v>0.48822323908503695</v>
      </c>
      <c r="H27" s="38">
        <v>0.85473327309594915</v>
      </c>
      <c r="I27" s="38">
        <v>0.97463422248467291</v>
      </c>
      <c r="J27">
        <v>2034</v>
      </c>
      <c r="K27" s="3">
        <v>43.820815592466317</v>
      </c>
      <c r="L27" s="3">
        <v>38.457782580143203</v>
      </c>
      <c r="M27" s="3">
        <v>34.782452822720245</v>
      </c>
      <c r="N27" s="35"/>
      <c r="O27">
        <v>2034</v>
      </c>
      <c r="P27" s="2">
        <v>23.144456579066503</v>
      </c>
      <c r="Q27" s="2">
        <v>19.908872243125163</v>
      </c>
      <c r="R27" s="2">
        <v>17.180629790864494</v>
      </c>
      <c r="T27">
        <v>2034</v>
      </c>
      <c r="U27" s="21">
        <v>0.85496852745629803</v>
      </c>
      <c r="V27" s="21">
        <v>0.65387073568402709</v>
      </c>
      <c r="W27" s="21">
        <v>0.59251998175736009</v>
      </c>
      <c r="X27" s="21">
        <v>1.2213836106518543</v>
      </c>
      <c r="Y27" s="21">
        <v>0.4232285583981143</v>
      </c>
      <c r="AB27">
        <v>2034</v>
      </c>
      <c r="AC27" s="2">
        <v>-6.9464753475546095</v>
      </c>
      <c r="AG27" s="15">
        <v>2.1079258209861678</v>
      </c>
      <c r="AH27" s="15">
        <v>5.5384984273761262</v>
      </c>
    </row>
    <row r="28" spans="1:34" x14ac:dyDescent="0.75">
      <c r="A28">
        <v>2035</v>
      </c>
      <c r="B28" s="21">
        <v>0.17029261332991397</v>
      </c>
      <c r="C28" s="21">
        <v>0.30274106437055709</v>
      </c>
      <c r="D28" s="21">
        <v>0.40420779572729443</v>
      </c>
      <c r="F28">
        <v>2035</v>
      </c>
      <c r="G28" s="38">
        <v>0.55615322310587323</v>
      </c>
      <c r="H28" s="38">
        <v>0.90323525503809599</v>
      </c>
      <c r="I28" s="38">
        <v>0.98356093651606002</v>
      </c>
      <c r="J28">
        <v>2035</v>
      </c>
      <c r="K28" s="3">
        <v>42.449233128428943</v>
      </c>
      <c r="L28" s="3">
        <v>36.422760080370495</v>
      </c>
      <c r="M28" s="3">
        <v>32.757699471810668</v>
      </c>
      <c r="N28" s="35"/>
      <c r="O28">
        <v>2035</v>
      </c>
      <c r="P28" s="2">
        <v>22.106147235741581</v>
      </c>
      <c r="Q28" s="2">
        <v>18.577282714478024</v>
      </c>
      <c r="R28" s="2">
        <v>15.87387361033157</v>
      </c>
      <c r="T28">
        <v>2035</v>
      </c>
      <c r="U28" s="21">
        <v>0.83009249626504067</v>
      </c>
      <c r="V28" s="21">
        <v>0.6446402853800457</v>
      </c>
      <c r="W28" s="21">
        <v>0.59084628486268997</v>
      </c>
      <c r="X28" s="21">
        <v>1.1858464232357726</v>
      </c>
      <c r="Y28" s="21">
        <v>0.4220330606162071</v>
      </c>
      <c r="AB28">
        <v>2035</v>
      </c>
      <c r="AC28" s="2">
        <v>-8.2150565790886887</v>
      </c>
      <c r="AG28" s="15">
        <v>2.0408265659611202</v>
      </c>
      <c r="AH28" s="15">
        <v>6.3202067519704883</v>
      </c>
    </row>
    <row r="29" spans="1:34" x14ac:dyDescent="0.75">
      <c r="A29">
        <v>2036</v>
      </c>
      <c r="B29" s="21">
        <v>0.1983204026690143</v>
      </c>
      <c r="C29" s="21">
        <v>0.34125392640000002</v>
      </c>
      <c r="D29" s="21">
        <v>0.44141197452330599</v>
      </c>
      <c r="F29">
        <v>2036</v>
      </c>
      <c r="G29" s="38">
        <v>0.62289638995246521</v>
      </c>
      <c r="H29" s="38">
        <v>0.93587624135461478</v>
      </c>
      <c r="I29" s="38">
        <v>0.98767709064125131</v>
      </c>
      <c r="J29">
        <v>2036</v>
      </c>
      <c r="K29" s="3">
        <v>40.973163166564973</v>
      </c>
      <c r="L29" s="3">
        <v>34.422001169368571</v>
      </c>
      <c r="M29" s="3">
        <v>30.842031284994334</v>
      </c>
      <c r="N29" s="35"/>
      <c r="O29">
        <v>2036</v>
      </c>
      <c r="P29" s="2">
        <v>21.030602862499556</v>
      </c>
      <c r="Q29" s="2">
        <v>17.281002419465015</v>
      </c>
      <c r="R29" s="2">
        <v>14.653538604024146</v>
      </c>
      <c r="T29">
        <v>2036</v>
      </c>
      <c r="U29" s="21">
        <v>0.8054632309987535</v>
      </c>
      <c r="V29" s="21">
        <v>0.63672920963272128</v>
      </c>
      <c r="W29" s="21">
        <v>0.58938121661690379</v>
      </c>
      <c r="X29" s="21">
        <v>1.1506617585696477</v>
      </c>
      <c r="Y29" s="21">
        <v>0.42098658329778843</v>
      </c>
      <c r="AB29">
        <v>2036</v>
      </c>
      <c r="AC29" s="2">
        <v>-9.5784170840503631</v>
      </c>
      <c r="AG29" s="15">
        <v>1.9686992960835057</v>
      </c>
      <c r="AH29" s="15">
        <v>7.0875076597631308</v>
      </c>
    </row>
    <row r="30" spans="1:34" x14ac:dyDescent="0.75">
      <c r="A30">
        <v>2037</v>
      </c>
      <c r="B30" s="21">
        <v>0.22845006919679811</v>
      </c>
      <c r="C30" s="21">
        <v>0.37912974705803459</v>
      </c>
      <c r="D30" s="21">
        <v>0.4765739204032135</v>
      </c>
      <c r="F30">
        <v>2037</v>
      </c>
      <c r="G30" s="38">
        <v>0.68594238113307127</v>
      </c>
      <c r="H30" s="38">
        <v>0.95671773492900725</v>
      </c>
      <c r="I30" s="38">
        <v>0.98954515580986413</v>
      </c>
      <c r="J30">
        <v>2037</v>
      </c>
      <c r="K30" s="3">
        <v>39.409511894113564</v>
      </c>
      <c r="L30" s="3">
        <v>32.485558136270186</v>
      </c>
      <c r="M30" s="3">
        <v>29.03513672515777</v>
      </c>
      <c r="N30" s="35"/>
      <c r="O30">
        <v>2037</v>
      </c>
      <c r="P30" s="2">
        <v>19.928642553952361</v>
      </c>
      <c r="Q30" s="2">
        <v>16.03668259082303</v>
      </c>
      <c r="R30" s="2">
        <v>13.51976175131256</v>
      </c>
      <c r="T30">
        <v>2037</v>
      </c>
      <c r="U30" s="21">
        <v>0.78229707556311845</v>
      </c>
      <c r="V30" s="21">
        <v>0.6300944646262947</v>
      </c>
      <c r="W30" s="21">
        <v>0.58813059532630663</v>
      </c>
      <c r="X30" s="21">
        <v>1.117567250804455</v>
      </c>
      <c r="Y30" s="21">
        <v>0.4200932823759333</v>
      </c>
      <c r="AB30">
        <v>2037</v>
      </c>
      <c r="AC30" s="2">
        <v>-11.020127340074474</v>
      </c>
      <c r="AG30" s="15">
        <v>1.8924137188526602</v>
      </c>
      <c r="AH30" s="15">
        <v>7.8294647878935919</v>
      </c>
    </row>
    <row r="31" spans="1:34" x14ac:dyDescent="0.75">
      <c r="A31">
        <v>2038</v>
      </c>
      <c r="B31" s="21">
        <v>0.26025576310952242</v>
      </c>
      <c r="C31" s="21">
        <v>0.41587323241689261</v>
      </c>
      <c r="D31" s="21">
        <v>0.50967509539633948</v>
      </c>
      <c r="F31">
        <v>2038</v>
      </c>
      <c r="G31" s="38">
        <v>0.74319181898245257</v>
      </c>
      <c r="H31" s="38">
        <v>0.96955158184653711</v>
      </c>
      <c r="I31" s="38">
        <v>0.99038672482268453</v>
      </c>
      <c r="J31">
        <v>2038</v>
      </c>
      <c r="K31" s="3">
        <v>37.779697812799213</v>
      </c>
      <c r="L31" s="3">
        <v>30.631002772044383</v>
      </c>
      <c r="M31" s="3">
        <v>27.333350932423116</v>
      </c>
      <c r="N31" s="35"/>
      <c r="O31">
        <v>2038</v>
      </c>
      <c r="P31" s="2">
        <v>18.813000236091597</v>
      </c>
      <c r="Q31" s="2">
        <v>14.855373612157543</v>
      </c>
      <c r="R31" s="2">
        <v>12.469826848324578</v>
      </c>
      <c r="T31">
        <v>2038</v>
      </c>
      <c r="U31" s="21">
        <v>0.76120978918879811</v>
      </c>
      <c r="V31" s="21">
        <v>0.62457440349349236</v>
      </c>
      <c r="W31" s="21">
        <v>0.58707709215666626</v>
      </c>
      <c r="X31" s="21">
        <v>1.0874425559839971</v>
      </c>
      <c r="Y31" s="21">
        <v>0.4193407801119044</v>
      </c>
      <c r="AB31">
        <v>2038</v>
      </c>
      <c r="AC31" s="2">
        <v>-12.519760001314163</v>
      </c>
      <c r="AG31" s="15">
        <v>1.8130515371717992</v>
      </c>
      <c r="AH31" s="15">
        <v>8.5385307154404764</v>
      </c>
    </row>
    <row r="32" spans="1:34" x14ac:dyDescent="0.75">
      <c r="A32">
        <v>2039</v>
      </c>
      <c r="B32" s="21">
        <v>0.2932497450627613</v>
      </c>
      <c r="C32" s="21">
        <v>0.45115399152542379</v>
      </c>
      <c r="D32" s="21">
        <v>0.54075967536020786</v>
      </c>
      <c r="F32">
        <v>2039</v>
      </c>
      <c r="G32" s="38">
        <v>0.79323836733372788</v>
      </c>
      <c r="H32" s="38">
        <v>0.97727082792468845</v>
      </c>
      <c r="I32" s="38">
        <v>0.99076458357073471</v>
      </c>
      <c r="J32">
        <v>2039</v>
      </c>
      <c r="K32" s="3">
        <v>36.107582573578611</v>
      </c>
      <c r="L32" s="3">
        <v>28.866923161465536</v>
      </c>
      <c r="M32" s="3">
        <v>25.731681918631466</v>
      </c>
      <c r="N32" s="35"/>
      <c r="O32">
        <v>2039</v>
      </c>
      <c r="P32" s="2">
        <v>17.697227505444491</v>
      </c>
      <c r="Q32" s="2">
        <v>13.743260238784398</v>
      </c>
      <c r="R32" s="2">
        <v>11.499508416231571</v>
      </c>
      <c r="T32">
        <v>2039</v>
      </c>
      <c r="U32" s="21">
        <v>0.74242747031951217</v>
      </c>
      <c r="V32" s="21">
        <v>0.6199868327283734</v>
      </c>
      <c r="W32" s="21">
        <v>0.58620000192387234</v>
      </c>
      <c r="X32" s="21">
        <v>1.0606106718850172</v>
      </c>
      <c r="Y32" s="21">
        <v>0.41871428708848024</v>
      </c>
      <c r="AB32">
        <v>2039</v>
      </c>
      <c r="AC32" s="2">
        <v>-17.954999999999998</v>
      </c>
      <c r="AG32" s="15">
        <v>1.7317991839829945</v>
      </c>
      <c r="AH32" s="15">
        <v>9.2101584967277468</v>
      </c>
    </row>
    <row r="33" spans="1:34" x14ac:dyDescent="0.75">
      <c r="A33">
        <v>2040</v>
      </c>
      <c r="B33" s="21">
        <v>0.32692503891761698</v>
      </c>
      <c r="C33" s="21">
        <v>0.48477574433787984</v>
      </c>
      <c r="D33" s="21">
        <v>0.56990591341142305</v>
      </c>
      <c r="F33">
        <v>2040</v>
      </c>
      <c r="G33" s="38">
        <v>0.83547617302692856</v>
      </c>
      <c r="H33" s="38">
        <v>0.98184635789397678</v>
      </c>
      <c r="I33" s="38">
        <v>0.9909339828236956</v>
      </c>
      <c r="J33">
        <v>2040</v>
      </c>
      <c r="K33" s="3">
        <v>34.417224118219906</v>
      </c>
      <c r="L33" s="3">
        <v>27.196098046124916</v>
      </c>
      <c r="M33" s="3">
        <v>24.224737514962015</v>
      </c>
      <c r="N33" s="35"/>
      <c r="O33">
        <v>2040</v>
      </c>
      <c r="P33" s="2">
        <v>16.594550172439252</v>
      </c>
      <c r="Q33" s="2">
        <v>12.702767529627696</v>
      </c>
      <c r="R33" s="2">
        <v>10.603897502420972</v>
      </c>
      <c r="T33">
        <v>2040</v>
      </c>
      <c r="U33" s="21">
        <v>0.72593762478743262</v>
      </c>
      <c r="V33" s="21">
        <v>0.6161672176847971</v>
      </c>
      <c r="W33" s="21">
        <v>0.58548096290158147</v>
      </c>
      <c r="X33" s="21">
        <v>1.0370537496963321</v>
      </c>
      <c r="Y33" s="21">
        <v>0.41820068778684394</v>
      </c>
      <c r="AB33">
        <v>2040</v>
      </c>
      <c r="AC33" s="2">
        <v>-17.954999999999998</v>
      </c>
      <c r="AG33" s="15">
        <v>1.6498354960527053</v>
      </c>
      <c r="AH33" s="15">
        <v>9.8421593879955243</v>
      </c>
    </row>
    <row r="34" spans="1:34" x14ac:dyDescent="0.75">
      <c r="A34">
        <v>2041</v>
      </c>
      <c r="B34" s="21">
        <v>0.36079522210538006</v>
      </c>
      <c r="C34" s="21">
        <v>0.51664237970403393</v>
      </c>
      <c r="D34" s="21">
        <v>0.59720881150118532</v>
      </c>
      <c r="F34">
        <v>2041</v>
      </c>
      <c r="G34" s="38">
        <v>0.87002601660861612</v>
      </c>
      <c r="H34" s="38">
        <v>0.98453457035529957</v>
      </c>
      <c r="I34" s="38">
        <v>0.99100987517279415</v>
      </c>
      <c r="J34">
        <v>2041</v>
      </c>
      <c r="K34" s="3">
        <v>32.730931834723947</v>
      </c>
      <c r="L34" s="3">
        <v>25.617818703584135</v>
      </c>
      <c r="M34" s="3">
        <v>22.807133998918687</v>
      </c>
      <c r="N34" s="35"/>
      <c r="O34">
        <v>2041</v>
      </c>
      <c r="P34" s="2">
        <v>15.516896091703929</v>
      </c>
      <c r="Q34" s="2">
        <v>11.733657551762358</v>
      </c>
      <c r="R34" s="2">
        <v>9.777882197902521</v>
      </c>
      <c r="T34">
        <v>2041</v>
      </c>
      <c r="U34" s="21">
        <v>0.71159421447887927</v>
      </c>
      <c r="V34" s="21">
        <v>0.6129791965729342</v>
      </c>
      <c r="W34" s="21">
        <v>0.58490501352457835</v>
      </c>
      <c r="X34" s="21">
        <v>1.0165631635412562</v>
      </c>
      <c r="Y34" s="21">
        <v>0.41778929537469878</v>
      </c>
      <c r="AB34">
        <v>2041</v>
      </c>
      <c r="AC34" s="2">
        <v>-17.954999999999998</v>
      </c>
      <c r="AG34" s="15">
        <v>1.5682381194903117</v>
      </c>
      <c r="AH34" s="15">
        <v>10.4340462960864</v>
      </c>
    </row>
    <row r="35" spans="1:34" x14ac:dyDescent="0.75">
      <c r="A35">
        <v>2042</v>
      </c>
      <c r="B35" s="21">
        <v>0.39442487937667103</v>
      </c>
      <c r="C35" s="21">
        <v>0.54672809084786467</v>
      </c>
      <c r="D35" s="21">
        <v>0.62276998220085189</v>
      </c>
      <c r="F35">
        <v>2042</v>
      </c>
      <c r="G35" s="38">
        <v>0.89754016718297447</v>
      </c>
      <c r="H35" s="38">
        <v>0.98610565090653757</v>
      </c>
      <c r="I35" s="38">
        <v>0.99104386523697807</v>
      </c>
      <c r="J35">
        <v>2042</v>
      </c>
      <c r="K35" s="3">
        <v>31.067932977682176</v>
      </c>
      <c r="L35" s="3">
        <v>24.12941071903802</v>
      </c>
      <c r="M35" s="3">
        <v>21.473668451676218</v>
      </c>
      <c r="N35" s="35"/>
      <c r="O35">
        <v>2042</v>
      </c>
      <c r="P35" s="2">
        <v>14.474236128424799</v>
      </c>
      <c r="Q35" s="2">
        <v>10.833940200014844</v>
      </c>
      <c r="R35" s="2">
        <v>9.0164145890514256</v>
      </c>
      <c r="T35">
        <v>2042</v>
      </c>
      <c r="U35" s="21">
        <v>0.69918763822324148</v>
      </c>
      <c r="V35" s="21">
        <v>0.61031394787874393</v>
      </c>
      <c r="W35" s="21">
        <v>0.58446026212448865</v>
      </c>
      <c r="X35" s="21">
        <v>0.99883948317605897</v>
      </c>
      <c r="Y35" s="21">
        <v>0.41747161580320619</v>
      </c>
      <c r="AB35">
        <v>2042</v>
      </c>
      <c r="AC35" s="2">
        <v>-17.954999999999998</v>
      </c>
      <c r="AG35" s="15">
        <v>1.4879225910879257</v>
      </c>
      <c r="AH35" s="15">
        <v>10.986478754063082</v>
      </c>
    </row>
    <row r="36" spans="1:34" x14ac:dyDescent="0.75">
      <c r="A36">
        <v>2043</v>
      </c>
      <c r="B36" s="21">
        <v>0.42744788329255179</v>
      </c>
      <c r="C36" s="21">
        <v>0.57505396902612294</v>
      </c>
      <c r="D36" s="21">
        <v>0.64669188391922638</v>
      </c>
      <c r="F36">
        <v>2043</v>
      </c>
      <c r="G36" s="38">
        <v>0.91897050842061656</v>
      </c>
      <c r="H36" s="38">
        <v>0.98702099936861842</v>
      </c>
      <c r="I36" s="38">
        <v>0.99105908635654683</v>
      </c>
      <c r="J36">
        <v>2043</v>
      </c>
      <c r="K36" s="3">
        <v>29.443726422995951</v>
      </c>
      <c r="L36" s="3">
        <v>22.727171083536234</v>
      </c>
      <c r="M36" s="3">
        <v>20.219385295278556</v>
      </c>
      <c r="N36" s="35"/>
      <c r="O36">
        <v>2043</v>
      </c>
      <c r="P36" s="2">
        <v>13.474276128968242</v>
      </c>
      <c r="Q36" s="2">
        <v>10.000557144349518</v>
      </c>
      <c r="R36" s="2">
        <v>8.3146511483606567</v>
      </c>
      <c r="T36">
        <v>2043</v>
      </c>
      <c r="U36" s="21">
        <v>0.68848869160964299</v>
      </c>
      <c r="V36" s="21">
        <v>0.60808596384956437</v>
      </c>
      <c r="W36" s="21">
        <v>0.58413726446971248</v>
      </c>
      <c r="X36" s="21">
        <v>0.9835552737280614</v>
      </c>
      <c r="Y36" s="21">
        <v>0.41724090319265184</v>
      </c>
      <c r="AB36">
        <v>2043</v>
      </c>
      <c r="AC36" s="2">
        <v>-17.954999999999998</v>
      </c>
      <c r="AG36" s="15">
        <v>1.4096160004069305</v>
      </c>
      <c r="AH36" s="15">
        <v>11.500840348287751</v>
      </c>
    </row>
    <row r="37" spans="1:34" x14ac:dyDescent="0.75">
      <c r="A37">
        <v>2044</v>
      </c>
      <c r="B37" s="21">
        <v>0.4595740974554719</v>
      </c>
      <c r="C37" s="21">
        <v>0.6016708847175366</v>
      </c>
      <c r="D37" s="21">
        <v>0.66907464832949082</v>
      </c>
      <c r="F37">
        <v>2044</v>
      </c>
      <c r="G37" s="38">
        <v>0.93536690469700701</v>
      </c>
      <c r="H37" s="38">
        <v>0.98755333590538452</v>
      </c>
      <c r="I37" s="38">
        <v>0.99106590212167411</v>
      </c>
      <c r="J37">
        <v>2044</v>
      </c>
      <c r="K37" s="3">
        <v>27.870016447205273</v>
      </c>
      <c r="L37" s="3">
        <v>21.406923276253281</v>
      </c>
      <c r="M37" s="3">
        <v>19.039596067993216</v>
      </c>
      <c r="N37" s="35"/>
      <c r="O37">
        <v>2044</v>
      </c>
      <c r="P37" s="2">
        <v>12.522451683028319</v>
      </c>
      <c r="Q37" s="2">
        <v>9.2298631071945643</v>
      </c>
      <c r="R37" s="2">
        <v>7.6680201808825439</v>
      </c>
      <c r="T37">
        <v>2044</v>
      </c>
      <c r="U37" s="21">
        <v>0.67927404755820664</v>
      </c>
      <c r="V37" s="21">
        <v>0.60622831119933185</v>
      </c>
      <c r="W37" s="21">
        <v>0.58392844240600139</v>
      </c>
      <c r="X37" s="21">
        <v>0.97039149651172385</v>
      </c>
      <c r="Y37" s="21">
        <v>0.4170917445757153</v>
      </c>
      <c r="AB37">
        <v>2044</v>
      </c>
      <c r="AC37" s="2">
        <v>-17.954999999999998</v>
      </c>
      <c r="AG37" s="15">
        <v>1.3338584661471771</v>
      </c>
      <c r="AH37" s="15">
        <v>11.978937461205419</v>
      </c>
    </row>
    <row r="38" spans="1:34" x14ac:dyDescent="0.75">
      <c r="A38">
        <v>2045</v>
      </c>
      <c r="B38" s="21">
        <v>0.49058720431510583</v>
      </c>
      <c r="C38" s="21">
        <v>0.62664751793429863</v>
      </c>
      <c r="D38" s="21">
        <v>0.69001441883457371</v>
      </c>
      <c r="F38">
        <v>2045</v>
      </c>
      <c r="G38" s="38">
        <v>0.94773717014364645</v>
      </c>
      <c r="H38" s="38">
        <v>0.98786259788047892</v>
      </c>
      <c r="I38" s="38">
        <v>0.99106895402467043</v>
      </c>
      <c r="J38">
        <v>2045</v>
      </c>
      <c r="K38" s="3">
        <v>26.355035349871571</v>
      </c>
      <c r="L38" s="3">
        <v>20.16433688557575</v>
      </c>
      <c r="M38" s="3">
        <v>17.929878908575887</v>
      </c>
      <c r="N38" s="35"/>
      <c r="O38">
        <v>2045</v>
      </c>
      <c r="P38" s="2">
        <v>11.622133167874388</v>
      </c>
      <c r="Q38" s="2">
        <v>8.5179491011609176</v>
      </c>
      <c r="R38" s="2">
        <v>7.0722481550189107</v>
      </c>
      <c r="T38">
        <v>2045</v>
      </c>
      <c r="U38" s="21">
        <v>0.67133933885998176</v>
      </c>
      <c r="V38" s="21">
        <v>0.60468845372775637</v>
      </c>
      <c r="W38" s="21">
        <v>0.5838276201177014</v>
      </c>
      <c r="X38" s="21">
        <v>0.95905619837140266</v>
      </c>
      <c r="Y38" s="21">
        <v>0.41701972865550097</v>
      </c>
      <c r="AB38">
        <v>2045</v>
      </c>
      <c r="AC38" s="2">
        <v>-17.954999999999998</v>
      </c>
      <c r="AG38" s="15">
        <v>1.2610222954431436</v>
      </c>
      <c r="AH38" s="15">
        <v>12.422794045224117</v>
      </c>
    </row>
    <row r="39" spans="1:34" x14ac:dyDescent="0.75">
      <c r="A39">
        <v>2046</v>
      </c>
      <c r="B39" s="21">
        <v>0.52033698330901479</v>
      </c>
      <c r="C39" s="21">
        <v>0.65006225004109996</v>
      </c>
      <c r="D39" s="21">
        <v>0.70960255853703358</v>
      </c>
      <c r="F39">
        <v>2046</v>
      </c>
      <c r="G39" s="38">
        <v>0.95696971525886021</v>
      </c>
      <c r="H39" s="38">
        <v>0.98804215365882031</v>
      </c>
      <c r="I39" s="38">
        <v>0.99107032056200561</v>
      </c>
      <c r="J39">
        <v>2046</v>
      </c>
      <c r="K39" s="3">
        <v>24.904065432002312</v>
      </c>
      <c r="L39" s="3">
        <v>18.995106769397864</v>
      </c>
      <c r="M39" s="3">
        <v>16.886069546586185</v>
      </c>
      <c r="N39" s="35"/>
      <c r="O39">
        <v>2046</v>
      </c>
      <c r="P39" s="2">
        <v>10.77494400298929</v>
      </c>
      <c r="Q39" s="2">
        <v>7.8608513250633498</v>
      </c>
      <c r="R39" s="2">
        <v>6.5233634061694588</v>
      </c>
      <c r="T39">
        <v>2046</v>
      </c>
      <c r="U39" s="21">
        <v>0.66450445902247368</v>
      </c>
      <c r="V39" s="21">
        <v>0.60342488808170169</v>
      </c>
      <c r="W39" s="21">
        <v>0.58382967477575176</v>
      </c>
      <c r="X39" s="21">
        <v>0.94929208431781953</v>
      </c>
      <c r="Y39" s="21">
        <v>0.41702119626839412</v>
      </c>
      <c r="AB39">
        <v>2046</v>
      </c>
      <c r="AC39" s="2">
        <v>-17.954999999999998</v>
      </c>
      <c r="AG39" s="15">
        <v>1.1913394497339311</v>
      </c>
      <c r="AH39" s="15">
        <v>12.8345166740705</v>
      </c>
    </row>
    <row r="40" spans="1:34" x14ac:dyDescent="0.75">
      <c r="A40">
        <v>2047</v>
      </c>
      <c r="B40" s="21">
        <v>0.54872897037989199</v>
      </c>
      <c r="C40" s="21">
        <v>0.67199780707190371</v>
      </c>
      <c r="D40" s="21">
        <v>0.72792535204080289</v>
      </c>
      <c r="F40">
        <v>2047</v>
      </c>
      <c r="G40" s="38">
        <v>0.96380426020996557</v>
      </c>
      <c r="H40" s="38">
        <v>0.9881463654511945</v>
      </c>
      <c r="I40" s="38">
        <v>0.99107093244712263</v>
      </c>
      <c r="J40">
        <v>2047</v>
      </c>
      <c r="K40" s="3">
        <v>23.520017187878864</v>
      </c>
      <c r="L40" s="3">
        <v>17.895050057263802</v>
      </c>
      <c r="M40" s="3">
        <v>15.904249029229589</v>
      </c>
      <c r="N40" s="35"/>
      <c r="O40">
        <v>2047</v>
      </c>
      <c r="P40" s="2">
        <v>9.9811143420296062</v>
      </c>
      <c r="Q40" s="2">
        <v>7.2546810611968127</v>
      </c>
      <c r="R40" s="2">
        <v>6.0176878031241463</v>
      </c>
      <c r="T40">
        <v>2047</v>
      </c>
      <c r="U40" s="21">
        <v>0.65861434756584725</v>
      </c>
      <c r="V40" s="21">
        <v>0.60240454283542411</v>
      </c>
      <c r="W40" s="21">
        <v>0.58393027887029592</v>
      </c>
      <c r="X40" s="21">
        <v>0.94087763937978153</v>
      </c>
      <c r="Y40" s="21">
        <v>0.41709305633592558</v>
      </c>
      <c r="AB40">
        <v>2047</v>
      </c>
      <c r="AC40" s="2">
        <v>-17.954999999999998</v>
      </c>
      <c r="AG40" s="15">
        <v>1.1249305902665143</v>
      </c>
      <c r="AH40" s="15">
        <v>13.216208646160055</v>
      </c>
    </row>
    <row r="41" spans="1:34" x14ac:dyDescent="0.75">
      <c r="A41">
        <v>2048</v>
      </c>
      <c r="B41" s="21">
        <v>0.57571360339845079</v>
      </c>
      <c r="C41" s="21">
        <v>0.69253780198352455</v>
      </c>
      <c r="D41" s="21">
        <v>0.74506398291632681</v>
      </c>
      <c r="F41">
        <v>2048</v>
      </c>
      <c r="G41" s="38">
        <v>0.9688327237151273</v>
      </c>
      <c r="H41" s="38">
        <v>0.98820683602897841</v>
      </c>
      <c r="I41" s="38">
        <v>0.9910712064260796</v>
      </c>
      <c r="J41">
        <v>2048</v>
      </c>
      <c r="K41" s="3">
        <v>22.20397582993516</v>
      </c>
      <c r="L41" s="3">
        <v>16.860155733811922</v>
      </c>
      <c r="M41" s="3">
        <v>14.980730485388676</v>
      </c>
      <c r="N41" s="35"/>
      <c r="O41">
        <v>2048</v>
      </c>
      <c r="P41" s="2">
        <v>9.2398192212769796</v>
      </c>
      <c r="Q41" s="2">
        <v>6.695701652948836</v>
      </c>
      <c r="R41" s="2">
        <v>5.5518223768499624</v>
      </c>
      <c r="T41">
        <v>2048</v>
      </c>
      <c r="U41" s="21">
        <v>0.65353741186742331</v>
      </c>
      <c r="V41" s="21">
        <v>0.60160080518844095</v>
      </c>
      <c r="W41" s="21">
        <v>0.58412571111033751</v>
      </c>
      <c r="X41" s="21">
        <v>0.93362487409631889</v>
      </c>
      <c r="Y41" s="21">
        <v>0.41723265079309829</v>
      </c>
      <c r="AB41">
        <v>2048</v>
      </c>
      <c r="AC41" s="2">
        <v>-17.954999999999998</v>
      </c>
      <c r="AG41" s="15">
        <v>1.0618317929577585</v>
      </c>
      <c r="AH41" s="15">
        <v>13.569917284030289</v>
      </c>
    </row>
    <row r="42" spans="1:34" x14ac:dyDescent="0.75">
      <c r="A42">
        <v>2049</v>
      </c>
      <c r="B42" s="21">
        <v>0.60127611897935185</v>
      </c>
      <c r="C42" s="21">
        <v>0.71176455999672772</v>
      </c>
      <c r="D42" s="21">
        <v>0.76109466089658095</v>
      </c>
      <c r="F42">
        <v>2049</v>
      </c>
      <c r="G42" s="38">
        <v>0.97251557906002783</v>
      </c>
      <c r="H42" s="38">
        <v>0.98824192082853857</v>
      </c>
      <c r="I42" s="38">
        <v>0.99107132910333406</v>
      </c>
      <c r="J42">
        <v>2049</v>
      </c>
      <c r="K42" s="3">
        <v>20.955673414206473</v>
      </c>
      <c r="L42" s="3">
        <v>15.886607160279709</v>
      </c>
      <c r="M42" s="3">
        <v>14.112045922861739</v>
      </c>
      <c r="N42" s="35"/>
      <c r="O42">
        <v>2049</v>
      </c>
      <c r="P42" s="2">
        <v>8.5494741603784323</v>
      </c>
      <c r="Q42" s="2">
        <v>6.1803708373456345</v>
      </c>
      <c r="R42" s="2">
        <v>5.1226302728914188</v>
      </c>
      <c r="T42">
        <v>2049</v>
      </c>
      <c r="U42" s="21">
        <v>0.6491629075439187</v>
      </c>
      <c r="V42" s="21">
        <v>0.60099203492015474</v>
      </c>
      <c r="W42" s="21">
        <v>0.58441271722897659</v>
      </c>
      <c r="X42" s="21">
        <v>0.92737558220559801</v>
      </c>
      <c r="Y42" s="21">
        <v>0.41743765516355458</v>
      </c>
      <c r="AB42">
        <v>2049</v>
      </c>
      <c r="AC42" s="2">
        <v>-17.954999999999998</v>
      </c>
      <c r="AG42" s="15">
        <v>1.0020171885821385</v>
      </c>
      <c r="AH42" s="15">
        <v>13.89760321169434</v>
      </c>
    </row>
    <row r="43" spans="1:34" x14ac:dyDescent="0.75">
      <c r="A43">
        <v>2050</v>
      </c>
      <c r="B43" s="21">
        <v>0.62542781131664604</v>
      </c>
      <c r="C43" s="21">
        <v>0.72975779788656769</v>
      </c>
      <c r="D43" s="21">
        <v>0.77608882652208433</v>
      </c>
      <c r="F43">
        <v>2050</v>
      </c>
      <c r="G43" s="38">
        <v>0.9752038744830096</v>
      </c>
      <c r="H43" s="38">
        <v>0.98826227547157863</v>
      </c>
      <c r="I43" s="38">
        <v>0.99107138403347184</v>
      </c>
      <c r="J43">
        <v>2050</v>
      </c>
      <c r="K43" s="3">
        <v>19.773873712448733</v>
      </c>
      <c r="L43" s="3">
        <v>14.97078934512831</v>
      </c>
      <c r="M43" s="3">
        <v>13.294933475096059</v>
      </c>
      <c r="N43" s="35"/>
      <c r="O43">
        <v>2050</v>
      </c>
      <c r="P43" s="2">
        <v>7.9079783996521478</v>
      </c>
      <c r="Q43" s="2">
        <v>5.7053608397873674</v>
      </c>
      <c r="R43" s="2">
        <v>4.7272188827691561</v>
      </c>
      <c r="T43">
        <v>2050</v>
      </c>
      <c r="U43" s="21">
        <v>0.64539803193610557</v>
      </c>
      <c r="V43" s="21">
        <v>0.60056044644652462</v>
      </c>
      <c r="W43" s="21">
        <v>0.58478840680977606</v>
      </c>
      <c r="X43" s="21">
        <v>0.92199718848015044</v>
      </c>
      <c r="Y43" s="21">
        <v>0.41770600486412585</v>
      </c>
      <c r="AB43">
        <v>2050</v>
      </c>
      <c r="AC43" s="2">
        <v>-17.954999999999998</v>
      </c>
      <c r="AG43" s="15">
        <v>0.94541714871123617</v>
      </c>
      <c r="AH43" s="15">
        <v>14.201123928885503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0AE58-4947-4B41-8940-2B209ADF4087}">
  <dimension ref="B2:H45"/>
  <sheetViews>
    <sheetView topLeftCell="A13" workbookViewId="0">
      <selection activeCell="J24" sqref="J24"/>
    </sheetView>
  </sheetViews>
  <sheetFormatPr defaultRowHeight="14.75" x14ac:dyDescent="0.75"/>
  <cols>
    <col min="3" max="3" width="12.2265625" customWidth="1"/>
    <col min="4" max="4" width="13.6328125" customWidth="1"/>
    <col min="5" max="5" width="15.7265625" customWidth="1"/>
    <col min="7" max="7" width="16.953125" customWidth="1"/>
    <col min="8" max="8" width="14.36328125" customWidth="1"/>
  </cols>
  <sheetData>
    <row r="2" spans="2:8" s="30" customFormat="1" x14ac:dyDescent="0.75">
      <c r="C2" s="30" t="s">
        <v>127</v>
      </c>
      <c r="G2" s="30" t="s">
        <v>128</v>
      </c>
    </row>
    <row r="4" spans="2:8" ht="45" customHeight="1" x14ac:dyDescent="0.75">
      <c r="B4" t="s">
        <v>0</v>
      </c>
      <c r="C4" s="39" t="str">
        <f>'main calculations'!N9</f>
        <v>Ethanol consumption (billion liters)</v>
      </c>
      <c r="D4" s="39" t="str">
        <f>'main calculations'!S9</f>
        <v>Ethanol energy use (PJ)</v>
      </c>
      <c r="E4" s="39" t="str">
        <f>'main calculations'!W9</f>
        <v>Actual EIA ethanol consumption (billion liters)</v>
      </c>
      <c r="G4" s="41" t="str">
        <f>'main calculations'!AC9</f>
        <v>Est. bushels of corn for ethanol (billion)</v>
      </c>
      <c r="H4" s="41" t="str">
        <f>'main calculations'!AD9</f>
        <v>Est. acres of corn for ethanol (million acres)</v>
      </c>
    </row>
    <row r="5" spans="2:8" x14ac:dyDescent="0.75">
      <c r="B5">
        <f>'main calculations'!A10</f>
        <v>2010</v>
      </c>
      <c r="C5" s="3">
        <f>'main calculations'!N10</f>
        <v>52.260868636363625</v>
      </c>
      <c r="D5" s="8">
        <f>'main calculations'!S10</f>
        <v>1306.5217159090907</v>
      </c>
      <c r="E5" s="12">
        <f>'main calculations'!W10</f>
        <v>48.57775207273469</v>
      </c>
      <c r="G5" s="3">
        <f>'main calculations'!AC10</f>
        <v>5.2260868636363629</v>
      </c>
      <c r="H5" s="3">
        <f>'main calculations'!AD10</f>
        <v>33.716689442815245</v>
      </c>
    </row>
    <row r="6" spans="2:8" x14ac:dyDescent="0.75">
      <c r="B6">
        <f>'main calculations'!A11</f>
        <v>2011</v>
      </c>
      <c r="C6" s="3">
        <f>'main calculations'!N11</f>
        <v>52.208421817500039</v>
      </c>
      <c r="D6" s="8">
        <f>'main calculations'!S11</f>
        <v>1305.210545437501</v>
      </c>
      <c r="E6" s="12">
        <f>'main calculations'!W11</f>
        <v>48.734121076163255</v>
      </c>
      <c r="G6" s="3">
        <f>'main calculations'!AC11</f>
        <v>5.2205811526923691</v>
      </c>
      <c r="H6" s="3">
        <f>'main calculations'!AD11</f>
        <v>33.347691808957961</v>
      </c>
    </row>
    <row r="7" spans="2:8" x14ac:dyDescent="0.75">
      <c r="B7">
        <f>'main calculations'!A12</f>
        <v>2012</v>
      </c>
      <c r="C7" s="3">
        <f>'main calculations'!N12</f>
        <v>51.410915622000061</v>
      </c>
      <c r="D7" s="8">
        <f>'main calculations'!S12</f>
        <v>1285.2728905500016</v>
      </c>
      <c r="E7" s="12">
        <f>'main calculations'!W12</f>
        <v>48.698095781755093</v>
      </c>
      <c r="G7" s="3">
        <f>'main calculations'!AC12</f>
        <v>5.1405774915994016</v>
      </c>
      <c r="H7" s="3">
        <f>'main calculations'!AD12</f>
        <v>32.511534236677633</v>
      </c>
    </row>
    <row r="8" spans="2:8" x14ac:dyDescent="0.75">
      <c r="B8">
        <f>'main calculations'!A13</f>
        <v>2013</v>
      </c>
      <c r="C8" s="3">
        <f>'main calculations'!N13</f>
        <v>51.361621608107384</v>
      </c>
      <c r="D8" s="8">
        <f>'main calculations'!S13</f>
        <v>1284.0405402026845</v>
      </c>
      <c r="E8" s="12">
        <f>'main calculations'!W13</f>
        <v>49.978847639755095</v>
      </c>
      <c r="G8" s="3">
        <f>'main calculations'!AC13</f>
        <v>5.1353918135226282</v>
      </c>
      <c r="H8" s="3">
        <f>'main calculations'!AD13</f>
        <v>32.157165806150594</v>
      </c>
    </row>
    <row r="9" spans="2:8" x14ac:dyDescent="0.75">
      <c r="B9">
        <f>'main calculations'!A14</f>
        <v>2014</v>
      </c>
      <c r="C9" s="3">
        <f>'main calculations'!N14</f>
        <v>51.773835467568802</v>
      </c>
      <c r="D9" s="8">
        <f>'main calculations'!S14</f>
        <v>1294.3458866892202</v>
      </c>
      <c r="E9" s="12">
        <f>'main calculations'!W14</f>
        <v>50.869729824979586</v>
      </c>
      <c r="G9" s="3">
        <f>'main calculations'!AC14</f>
        <v>5.1763481994691736</v>
      </c>
      <c r="H9" s="3">
        <f>'main calculations'!AD14</f>
        <v>32.092702425089627</v>
      </c>
    </row>
    <row r="10" spans="2:8" x14ac:dyDescent="0.75">
      <c r="B10">
        <f>'main calculations'!A15</f>
        <v>2015</v>
      </c>
      <c r="C10" s="3">
        <f>'main calculations'!N15</f>
        <v>51.732736027579335</v>
      </c>
      <c r="D10" s="8">
        <f>'main calculations'!S15</f>
        <v>1293.3184006894835</v>
      </c>
      <c r="E10" s="12">
        <f>'main calculations'!W15</f>
        <v>52.781588079428566</v>
      </c>
      <c r="G10" s="3">
        <f>'main calculations'!AC15</f>
        <v>5.1719804783323715</v>
      </c>
      <c r="H10" s="3">
        <f>'main calculations'!AD15</f>
        <v>31.748141691001237</v>
      </c>
    </row>
    <row r="11" spans="2:8" x14ac:dyDescent="0.75">
      <c r="B11">
        <f>'main calculations'!A16</f>
        <v>2016</v>
      </c>
      <c r="C11" s="3">
        <f>'main calculations'!N16</f>
        <v>52.147482488531864</v>
      </c>
      <c r="D11" s="8">
        <f>'main calculations'!S16</f>
        <v>1303.6870622132965</v>
      </c>
      <c r="E11" s="12">
        <f>'main calculations'!W16</f>
        <v>54.330034882408164</v>
      </c>
      <c r="G11" s="3">
        <f>'main calculations'!AC16</f>
        <v>5.2131840981163116</v>
      </c>
      <c r="H11" s="3">
        <f>'main calculations'!AD16</f>
        <v>31.684227355699804</v>
      </c>
    </row>
    <row r="12" spans="2:8" x14ac:dyDescent="0.75">
      <c r="B12">
        <f>'main calculations'!A17</f>
        <v>2017</v>
      </c>
      <c r="C12" s="3">
        <f>'main calculations'!N17</f>
        <v>51.802309285851038</v>
      </c>
      <c r="D12" s="8">
        <f>'main calculations'!S17</f>
        <v>1295.0577321462761</v>
      </c>
      <c r="E12" s="12">
        <f>'main calculations'!W17</f>
        <v>54.890509729591827</v>
      </c>
      <c r="G12" s="3">
        <f>'main calculations'!AC17</f>
        <v>5.1784182103218752</v>
      </c>
      <c r="H12" s="3">
        <f>'main calculations'!AD17</f>
        <v>31.161317158654359</v>
      </c>
    </row>
    <row r="13" spans="2:8" x14ac:dyDescent="0.75">
      <c r="B13">
        <f>'main calculations'!A18</f>
        <v>2018</v>
      </c>
      <c r="C13" s="3">
        <f>'main calculations'!N18</f>
        <v>51.86371409248602</v>
      </c>
      <c r="D13" s="8">
        <f>'main calculations'!S18</f>
        <v>1296.5928523121506</v>
      </c>
      <c r="E13" s="12">
        <f>'main calculations'!W18</f>
        <v>54.776391484408158</v>
      </c>
      <c r="G13" s="3">
        <f>'main calculations'!AC18</f>
        <v>5.1842973273805404</v>
      </c>
      <c r="H13" s="3">
        <f>'main calculations'!AD18</f>
        <v>30.88781678836013</v>
      </c>
    </row>
    <row r="14" spans="2:8" x14ac:dyDescent="0.75">
      <c r="B14">
        <f>'main calculations'!A19</f>
        <v>2019</v>
      </c>
      <c r="C14" s="3">
        <f>'main calculations'!N19</f>
        <v>51.772552084490485</v>
      </c>
      <c r="D14" s="8">
        <f>'main calculations'!S19</f>
        <v>1294.3138021122622</v>
      </c>
      <c r="E14" s="12">
        <f>'main calculations'!W19</f>
        <v>55.217941662122442</v>
      </c>
      <c r="G14" s="3">
        <f>'main calculations'!AC19</f>
        <v>5.174926025939687</v>
      </c>
      <c r="H14" s="3">
        <f>'main calculations'!AD19</f>
        <v>30.526715825885447</v>
      </c>
    </row>
    <row r="15" spans="2:8" x14ac:dyDescent="0.75">
      <c r="B15">
        <f>'main calculations'!A20</f>
        <v>2020</v>
      </c>
      <c r="C15" s="3">
        <f>'main calculations'!N20</f>
        <v>51.45304198790086</v>
      </c>
      <c r="D15" s="8">
        <f>'main calculations'!S20</f>
        <v>1286.3260496975215</v>
      </c>
      <c r="E15" s="12">
        <f>'main calculations'!W20</f>
        <v>48.043369243102035</v>
      </c>
      <c r="G15" s="3">
        <f>'main calculations'!AC20</f>
        <v>5.1427322540285401</v>
      </c>
      <c r="H15" s="3">
        <f>'main calculations'!AD20</f>
        <v>30.036441426134697</v>
      </c>
    </row>
    <row r="16" spans="2:8" x14ac:dyDescent="0.75">
      <c r="B16">
        <f>'main calculations'!A21</f>
        <v>2021</v>
      </c>
      <c r="C16" s="3">
        <f>'main calculations'!N21</f>
        <v>51.097397092609015</v>
      </c>
      <c r="D16" s="8">
        <f>'main calculations'!S21</f>
        <v>1277.4349273152254</v>
      </c>
      <c r="E16" s="12">
        <f>'main calculations'!W21</f>
        <v>52.868515695795914</v>
      </c>
      <c r="G16" s="3">
        <f>'main calculations'!AC21</f>
        <v>5.1069301953452122</v>
      </c>
      <c r="H16" s="3">
        <f>'main calculations'!AD21</f>
        <v>29.532017147069364</v>
      </c>
    </row>
    <row r="17" spans="2:8" x14ac:dyDescent="0.75">
      <c r="B17">
        <f>'main calculations'!A22</f>
        <v>2022</v>
      </c>
      <c r="C17" s="3">
        <f>'main calculations'!N22</f>
        <v>50.730045405664271</v>
      </c>
      <c r="D17" s="8">
        <f>'main calculations'!S22</f>
        <v>1268.2511351416067</v>
      </c>
      <c r="E17" s="12">
        <f>'main calculations'!W22</f>
        <v>53.222222747755097</v>
      </c>
      <c r="G17" s="3">
        <f>'main calculations'!AC22</f>
        <v>5.0699617268471888</v>
      </c>
      <c r="H17" s="3">
        <f>'main calculations'!AD22</f>
        <v>29.027958752351733</v>
      </c>
    </row>
    <row r="18" spans="2:8" x14ac:dyDescent="0.75">
      <c r="B18">
        <f>'main calculations'!A23</f>
        <v>2023</v>
      </c>
      <c r="C18" s="3">
        <f>'main calculations'!N23</f>
        <v>50.31744029080312</v>
      </c>
      <c r="D18" s="8">
        <f>'main calculations'!S23</f>
        <v>1257.9360072700779</v>
      </c>
      <c r="E18" s="12"/>
      <c r="G18" s="3">
        <f>'main calculations'!AC23</f>
        <v>5.0284745398970463</v>
      </c>
      <c r="H18" s="3">
        <f>'main calculations'!AD23</f>
        <v>28.50537102968498</v>
      </c>
    </row>
    <row r="19" spans="2:8" x14ac:dyDescent="0.75">
      <c r="B19">
        <f>'main calculations'!A24</f>
        <v>2024</v>
      </c>
      <c r="C19" s="3">
        <f>'main calculations'!N24</f>
        <v>49.842941918079134</v>
      </c>
      <c r="D19" s="8">
        <f>'main calculations'!S24</f>
        <v>1246.0735479519783</v>
      </c>
      <c r="E19" s="6"/>
      <c r="G19" s="3">
        <f>'main calculations'!AC24</f>
        <v>4.9808064939020396</v>
      </c>
      <c r="H19" s="3">
        <f>'main calculations'!AD24</f>
        <v>27.955594892398345</v>
      </c>
    </row>
    <row r="20" spans="2:8" x14ac:dyDescent="0.75">
      <c r="B20">
        <f>'main calculations'!A25</f>
        <v>2025</v>
      </c>
      <c r="C20" s="3">
        <f>'main calculations'!N25</f>
        <v>49.285202143507377</v>
      </c>
      <c r="D20" s="8">
        <f>'main calculations'!S25</f>
        <v>1232.1300535876844</v>
      </c>
      <c r="E20" s="6"/>
      <c r="G20" s="3">
        <f>'main calculations'!AC25</f>
        <v>4.9248253023272026</v>
      </c>
      <c r="H20" s="3">
        <f>'main calculations'!AD25</f>
        <v>27.367714114716442</v>
      </c>
    </row>
    <row r="21" spans="2:8" x14ac:dyDescent="0.75">
      <c r="B21">
        <f>'main calculations'!A26</f>
        <v>2026</v>
      </c>
      <c r="C21" s="3">
        <f>'main calculations'!N26</f>
        <v>48.618029530968499</v>
      </c>
      <c r="D21" s="8">
        <f>'main calculations'!S26</f>
        <v>1215.4507382742124</v>
      </c>
      <c r="E21" s="6"/>
      <c r="G21" s="3">
        <f>'main calculations'!AC26</f>
        <v>4.8579151632515822</v>
      </c>
      <c r="H21" s="3">
        <f>'main calculations'!AD26</f>
        <v>26.728602201389766</v>
      </c>
    </row>
    <row r="22" spans="2:8" x14ac:dyDescent="0.75">
      <c r="B22">
        <f>'main calculations'!A27</f>
        <v>2027</v>
      </c>
      <c r="C22" s="3">
        <f>'main calculations'!N27</f>
        <v>47.811385550414002</v>
      </c>
      <c r="D22" s="8">
        <f>'main calculations'!S27</f>
        <v>1195.2846387603499</v>
      </c>
      <c r="E22" s="6"/>
      <c r="G22" s="3">
        <f>'main calculations'!AC27</f>
        <v>4.7770764154761336</v>
      </c>
      <c r="H22" s="3">
        <f>'main calculations'!AD27</f>
        <v>26.023585680628415</v>
      </c>
    </row>
    <row r="23" spans="2:8" x14ac:dyDescent="0.75">
      <c r="B23">
        <f>'main calculations'!A28</f>
        <v>2028</v>
      </c>
      <c r="C23" s="3">
        <f>'main calculations'!N28</f>
        <v>46.834318819593932</v>
      </c>
      <c r="D23" s="8">
        <f>'main calculations'!S28</f>
        <v>1170.8579704898484</v>
      </c>
      <c r="E23" s="6"/>
      <c r="G23" s="3">
        <f>'main calculations'!AC28</f>
        <v>4.6792187947655375</v>
      </c>
      <c r="H23" s="3">
        <f>'main calculations'!AD28</f>
        <v>25.238115672982474</v>
      </c>
    </row>
    <row r="24" spans="2:8" x14ac:dyDescent="0.75">
      <c r="B24">
        <f>'main calculations'!A29</f>
        <v>2029</v>
      </c>
      <c r="C24" s="3">
        <f>'main calculations'!N29</f>
        <v>45.660484910147204</v>
      </c>
      <c r="D24" s="8">
        <f>'main calculations'!S29</f>
        <v>1141.5121227536802</v>
      </c>
      <c r="E24" s="6"/>
      <c r="G24" s="3">
        <f>'main calculations'!AC29</f>
        <v>4.5617129130623839</v>
      </c>
      <c r="H24" s="3">
        <f>'main calculations'!AD29</f>
        <v>24.360721671601148</v>
      </c>
    </row>
    <row r="25" spans="2:8" x14ac:dyDescent="0.75">
      <c r="B25">
        <f>'main calculations'!A30</f>
        <v>2030</v>
      </c>
      <c r="C25" s="3">
        <f>'main calculations'!N30</f>
        <v>44.275941425021074</v>
      </c>
      <c r="D25" s="8">
        <f>'main calculations'!S30</f>
        <v>1106.8985356255268</v>
      </c>
      <c r="E25" s="6"/>
      <c r="G25" s="3">
        <f>'main calculations'!AC30</f>
        <v>4.423168871994454</v>
      </c>
      <c r="H25" s="3">
        <f>'main calculations'!AD30</f>
        <v>23.386990905878111</v>
      </c>
    </row>
    <row r="26" spans="2:8" x14ac:dyDescent="0.75">
      <c r="B26">
        <f>'main calculations'!A31</f>
        <v>2031</v>
      </c>
      <c r="C26" s="3">
        <f>'main calculations'!N31</f>
        <v>42.686976271157448</v>
      </c>
      <c r="D26" s="8">
        <f>'main calculations'!S31</f>
        <v>1067.1744067789361</v>
      </c>
      <c r="E26" s="6"/>
      <c r="G26" s="3">
        <f>'main calculations'!AC31</f>
        <v>4.2642179588354443</v>
      </c>
      <c r="H26" s="3">
        <f>'main calculations'!AD31</f>
        <v>22.323323209687494</v>
      </c>
    </row>
    <row r="27" spans="2:8" x14ac:dyDescent="0.75">
      <c r="B27">
        <f>'main calculations'!A32</f>
        <v>2032</v>
      </c>
      <c r="C27" s="3">
        <f>'main calculations'!N32</f>
        <v>40.923820131944808</v>
      </c>
      <c r="D27" s="8">
        <f>'main calculations'!S32</f>
        <v>1023.0955032986202</v>
      </c>
      <c r="E27" s="6"/>
      <c r="G27" s="3">
        <f>'main calculations'!AC32</f>
        <v>4.0878829803765324</v>
      </c>
      <c r="H27" s="3">
        <f>'main calculations'!AD32</f>
        <v>21.188320512242818</v>
      </c>
    </row>
    <row r="28" spans="2:8" x14ac:dyDescent="0.75">
      <c r="B28">
        <f>'main calculations'!A33</f>
        <v>2033</v>
      </c>
      <c r="C28" s="3">
        <f>'main calculations'!N33</f>
        <v>39.03661381465929</v>
      </c>
      <c r="D28" s="8">
        <f>'main calculations'!S33</f>
        <v>975.91534536648226</v>
      </c>
      <c r="E28" s="6"/>
      <c r="G28" s="3">
        <f>'main calculations'!AC33</f>
        <v>3.8991748632816496</v>
      </c>
      <c r="H28" s="3">
        <f>'main calculations'!AD33</f>
        <v>20.010107275450796</v>
      </c>
    </row>
    <row r="29" spans="2:8" x14ac:dyDescent="0.75">
      <c r="B29">
        <f>'main calculations'!A34</f>
        <v>2034</v>
      </c>
      <c r="C29" s="3">
        <f>'main calculations'!N34</f>
        <v>37.084290345138129</v>
      </c>
      <c r="D29" s="8">
        <f>'main calculations'!S34</f>
        <v>927.10725862845322</v>
      </c>
      <c r="E29" s="6"/>
      <c r="G29" s="3">
        <f>'main calculations'!AC34</f>
        <v>3.7039816997893307</v>
      </c>
      <c r="H29" s="3">
        <f>'main calculations'!AD34</f>
        <v>18.820196924847842</v>
      </c>
    </row>
    <row r="30" spans="2:8" x14ac:dyDescent="0.75">
      <c r="B30">
        <f>'main calculations'!A35</f>
        <v>2035</v>
      </c>
      <c r="C30" s="3">
        <f>'main calculations'!N35</f>
        <v>35.121947220357185</v>
      </c>
      <c r="D30" s="8">
        <f>'main calculations'!S35</f>
        <v>878.04868050892969</v>
      </c>
      <c r="E30" s="6"/>
      <c r="G30" s="3">
        <f>'main calculations'!AC35</f>
        <v>3.5078073310076796</v>
      </c>
      <c r="H30" s="3">
        <f>'main calculations'!AD35</f>
        <v>17.646951360142175</v>
      </c>
    </row>
    <row r="31" spans="2:8" x14ac:dyDescent="0.75">
      <c r="B31">
        <f>'main calculations'!A36</f>
        <v>2036</v>
      </c>
      <c r="C31" s="3">
        <f>'main calculations'!N36</f>
        <v>33.192643984748315</v>
      </c>
      <c r="D31" s="8">
        <f>'main calculations'!S36</f>
        <v>829.81609961870788</v>
      </c>
      <c r="E31" s="6"/>
      <c r="G31" s="3">
        <f>'main calculations'!AC36</f>
        <v>3.3149522660525683</v>
      </c>
      <c r="H31" s="3">
        <f>'main calculations'!AD36</f>
        <v>16.51162674607809</v>
      </c>
    </row>
    <row r="32" spans="2:8" x14ac:dyDescent="0.75">
      <c r="B32">
        <f>'main calculations'!A37</f>
        <v>2037</v>
      </c>
      <c r="C32" s="3">
        <f>'main calculations'!N37</f>
        <v>31.325359631403387</v>
      </c>
      <c r="D32" s="8">
        <f>'main calculations'!S37</f>
        <v>783.13399078508473</v>
      </c>
      <c r="E32" s="6"/>
      <c r="G32" s="3">
        <f>'main calculations'!AC37</f>
        <v>3.1283099984063258</v>
      </c>
      <c r="H32" s="3">
        <f>'main calculations'!AD37</f>
        <v>15.427693152532081</v>
      </c>
    </row>
    <row r="33" spans="2:8" x14ac:dyDescent="0.75">
      <c r="B33">
        <f>'main calculations'!A38</f>
        <v>2038</v>
      </c>
      <c r="C33" s="3">
        <f>'main calculations'!N38</f>
        <v>29.53703838732855</v>
      </c>
      <c r="D33" s="8">
        <f>'main calculations'!S38</f>
        <v>738.4259596832137</v>
      </c>
      <c r="E33" s="6"/>
      <c r="G33" s="3">
        <f>'main calculations'!AC38</f>
        <v>2.949571649869593</v>
      </c>
      <c r="H33" s="3">
        <f>'main calculations'!AD38</f>
        <v>14.40219829850173</v>
      </c>
    </row>
    <row r="34" spans="2:8" x14ac:dyDescent="0.75">
      <c r="B34">
        <f>'main calculations'!A39</f>
        <v>2039</v>
      </c>
      <c r="C34" s="3">
        <f>'main calculations'!N39</f>
        <v>27.835961619984687</v>
      </c>
      <c r="D34" s="8">
        <f>'main calculations'!S39</f>
        <v>695.89904049961717</v>
      </c>
      <c r="E34" s="6"/>
      <c r="G34" s="3">
        <f>'main calculations'!AC39</f>
        <v>2.7795629731609814</v>
      </c>
      <c r="H34" s="3">
        <f>'main calculations'!AD39</f>
        <v>13.43770119956681</v>
      </c>
    </row>
    <row r="35" spans="2:8" x14ac:dyDescent="0.75">
      <c r="B35">
        <f>'main calculations'!A40</f>
        <v>2040</v>
      </c>
      <c r="C35" s="3">
        <f>'main calculations'!N40</f>
        <v>26.224808830191932</v>
      </c>
      <c r="D35" s="8">
        <f>'main calculations'!S40</f>
        <v>655.62022075479831</v>
      </c>
      <c r="E35" s="6"/>
      <c r="G35" s="3">
        <f>'main calculations'!AC40</f>
        <v>2.6185502087034154</v>
      </c>
      <c r="H35" s="3">
        <f>'main calculations'!AD40</f>
        <v>12.533951040085938</v>
      </c>
    </row>
    <row r="36" spans="2:8" x14ac:dyDescent="0.75">
      <c r="B36">
        <f>'main calculations'!A41</f>
        <v>2041</v>
      </c>
      <c r="C36" s="3">
        <f>'main calculations'!N41</f>
        <v>24.702896607027554</v>
      </c>
      <c r="D36" s="8">
        <f>'main calculations'!S41</f>
        <v>617.57241517568889</v>
      </c>
      <c r="E36" s="6"/>
      <c r="G36" s="3">
        <f>'main calculations'!AC41</f>
        <v>2.4664637732038157</v>
      </c>
      <c r="H36" s="3">
        <f>'main calculations'!AD41</f>
        <v>11.689083355040657</v>
      </c>
    </row>
    <row r="37" spans="2:8" x14ac:dyDescent="0.75">
      <c r="B37">
        <f>'main calculations'!A42</f>
        <v>2042</v>
      </c>
      <c r="C37" s="3">
        <f>'main calculations'!N42</f>
        <v>23.267646050500986</v>
      </c>
      <c r="D37" s="8">
        <f>'main calculations'!S42</f>
        <v>581.69115126252461</v>
      </c>
      <c r="E37" s="6"/>
      <c r="G37" s="3">
        <f>'main calculations'!AC42</f>
        <v>2.3230448512716313</v>
      </c>
      <c r="H37" s="3">
        <f>'main calculations'!AD42</f>
        <v>10.900387464896257</v>
      </c>
    </row>
    <row r="38" spans="2:8" x14ac:dyDescent="0.75">
      <c r="B38">
        <f>'main calculations'!A43</f>
        <v>2043</v>
      </c>
      <c r="C38" s="3">
        <f>'main calculations'!N43</f>
        <v>21.915486401981354</v>
      </c>
      <c r="D38" s="8">
        <f>'main calculations'!S43</f>
        <v>547.8871600495338</v>
      </c>
      <c r="E38" s="6"/>
      <c r="G38" s="3">
        <f>'main calculations'!AC43</f>
        <v>2.1879356567966153</v>
      </c>
      <c r="H38" s="3">
        <f>'main calculations'!AD43</f>
        <v>10.164768989187859</v>
      </c>
    </row>
    <row r="39" spans="2:8" x14ac:dyDescent="0.75">
      <c r="B39">
        <f>'main calculations'!A44</f>
        <v>2044</v>
      </c>
      <c r="C39" s="3">
        <f>'main calculations'!N44</f>
        <v>20.642390302101404</v>
      </c>
      <c r="D39" s="8">
        <f>'main calculations'!S44</f>
        <v>516.05975755253507</v>
      </c>
      <c r="E39" s="6"/>
      <c r="G39" s="3">
        <f>'main calculations'!AC44</f>
        <v>2.0607328925728523</v>
      </c>
      <c r="H39" s="3">
        <f>'main calculations'!AD44</f>
        <v>9.4790168745984769</v>
      </c>
    </row>
    <row r="40" spans="2:8" x14ac:dyDescent="0.75">
      <c r="B40">
        <f>'main calculations'!A45</f>
        <v>2045</v>
      </c>
      <c r="C40" s="3">
        <f>'main calculations'!N45</f>
        <v>19.444181996805156</v>
      </c>
      <c r="D40" s="8">
        <f>'main calculations'!S45</f>
        <v>486.10454992012887</v>
      </c>
      <c r="E40" s="6"/>
      <c r="G40" s="3">
        <f>'main calculations'!AC45</f>
        <v>1.9410185284021133</v>
      </c>
      <c r="H40" s="3">
        <f>'main calculations'!AD45</f>
        <v>8.83995187071557</v>
      </c>
    </row>
    <row r="41" spans="2:8" x14ac:dyDescent="0.75">
      <c r="B41">
        <f>'main calculations'!A46</f>
        <v>2046</v>
      </c>
      <c r="C41" s="3">
        <f>'main calculations'!N46</f>
        <v>18.316710099062249</v>
      </c>
      <c r="D41" s="8">
        <f>'main calculations'!S46</f>
        <v>457.91775247655619</v>
      </c>
      <c r="E41" s="6"/>
      <c r="G41" s="3">
        <f>'main calculations'!AC46</f>
        <v>1.8283770498900629</v>
      </c>
      <c r="H41" s="3">
        <f>'main calculations'!AD46</f>
        <v>8.2445054031874072</v>
      </c>
    </row>
    <row r="42" spans="2:8" x14ac:dyDescent="0.75">
      <c r="B42">
        <f>'main calculations'!A47</f>
        <v>2047</v>
      </c>
      <c r="C42" s="3">
        <f>'main calculations'!N47</f>
        <v>17.25594112664723</v>
      </c>
      <c r="D42" s="8">
        <f>'main calculations'!S47</f>
        <v>431.39852816618077</v>
      </c>
      <c r="E42" s="6"/>
      <c r="G42" s="3">
        <f>'main calculations'!AC47</f>
        <v>1.7224047943176497</v>
      </c>
      <c r="H42" s="3">
        <f>'main calculations'!AD47</f>
        <v>7.6897584420709819</v>
      </c>
    </row>
    <row r="43" spans="2:8" x14ac:dyDescent="0.75">
      <c r="B43">
        <f>'main calculations'!A48</f>
        <v>2048</v>
      </c>
      <c r="C43" s="3">
        <f>'main calculations'!N48</f>
        <v>16.258007314747232</v>
      </c>
      <c r="D43" s="8">
        <f>'main calculations'!S48</f>
        <v>406.45018286868083</v>
      </c>
      <c r="E43" s="6"/>
      <c r="G43" s="3">
        <f>'main calculations'!AC48</f>
        <v>1.6227147198739351</v>
      </c>
      <c r="H43" s="3">
        <f>'main calculations'!AD48</f>
        <v>7.1729577672480014</v>
      </c>
    </row>
    <row r="44" spans="2:8" x14ac:dyDescent="0.75">
      <c r="B44">
        <f>'main calculations'!A49</f>
        <v>2049</v>
      </c>
      <c r="C44" s="3">
        <f>'main calculations'!N49</f>
        <v>15.319228333126915</v>
      </c>
      <c r="D44" s="8">
        <f>'main calculations'!S49</f>
        <v>382.98070832817291</v>
      </c>
      <c r="E44" s="6"/>
      <c r="G44" s="3">
        <f>'main calculations'!AC49</f>
        <v>1.5289385689970352</v>
      </c>
      <c r="H44" s="3">
        <f>'main calculations'!AD49</f>
        <v>6.6915196960100758</v>
      </c>
    </row>
    <row r="45" spans="2:8" x14ac:dyDescent="0.75">
      <c r="B45">
        <f>'main calculations'!A50</f>
        <v>2050</v>
      </c>
      <c r="C45" s="3">
        <f>'main calculations'!N50</f>
        <v>14.436118297088029</v>
      </c>
      <c r="D45" s="8">
        <f>'main calculations'!S50</f>
        <v>360.9029574272007</v>
      </c>
      <c r="E45" s="6"/>
      <c r="G45" s="3">
        <f>'main calculations'!AC50</f>
        <v>1.4407275633831604</v>
      </c>
      <c r="H45" s="3">
        <f>'main calculations'!AD50</f>
        <v>6.2430270334777447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D918-99D9-4DB9-AA60-C994F5A9D3AE}">
  <dimension ref="B2:F45"/>
  <sheetViews>
    <sheetView workbookViewId="0">
      <selection activeCell="A2" sqref="A2:XFD2"/>
    </sheetView>
  </sheetViews>
  <sheetFormatPr defaultRowHeight="14.75" x14ac:dyDescent="0.75"/>
  <cols>
    <col min="3" max="5" width="14.36328125" customWidth="1"/>
    <col min="6" max="6" width="17.6796875" customWidth="1"/>
  </cols>
  <sheetData>
    <row r="2" spans="2:6" s="30" customFormat="1" x14ac:dyDescent="0.75">
      <c r="C2" s="30" t="s">
        <v>129</v>
      </c>
    </row>
    <row r="4" spans="2:6" ht="44.25" x14ac:dyDescent="0.75">
      <c r="B4" t="s">
        <v>0</v>
      </c>
      <c r="C4" s="36" t="str">
        <f>'main calculations'!AF9</f>
        <v>Cumulative new PV area (million acres)</v>
      </c>
      <c r="D4" s="36" t="str">
        <f>'main calculations'!AG9</f>
        <v>Annual added PV capacity [GW]</v>
      </c>
      <c r="E4" s="36" t="str">
        <f>'main calculations'!AH9</f>
        <v>Solar PV output [TWh]</v>
      </c>
      <c r="F4" s="36" t="str">
        <f>'main calculations'!AI9</f>
        <v>Ethanol substituted PV fraction of total EV use</v>
      </c>
    </row>
    <row r="5" spans="2:6" x14ac:dyDescent="0.75">
      <c r="B5">
        <f>'main calculations'!A10</f>
        <v>2010</v>
      </c>
      <c r="C5" s="3"/>
      <c r="D5" s="3"/>
      <c r="E5" s="3"/>
      <c r="F5" s="3"/>
    </row>
    <row r="6" spans="2:6" x14ac:dyDescent="0.75">
      <c r="B6">
        <f>'main calculations'!A11</f>
        <v>2011</v>
      </c>
      <c r="C6" s="3"/>
      <c r="D6" s="3"/>
      <c r="E6" s="3"/>
      <c r="F6" s="3"/>
    </row>
    <row r="7" spans="2:6" x14ac:dyDescent="0.75">
      <c r="B7">
        <f>'main calculations'!A12</f>
        <v>2012</v>
      </c>
      <c r="C7" s="3"/>
      <c r="D7" s="3"/>
      <c r="E7" s="3"/>
      <c r="F7" s="3"/>
    </row>
    <row r="8" spans="2:6" x14ac:dyDescent="0.75">
      <c r="B8">
        <f>'main calculations'!A13</f>
        <v>2013</v>
      </c>
      <c r="C8" s="3"/>
      <c r="D8" s="3"/>
      <c r="E8" s="3"/>
      <c r="F8" s="3"/>
    </row>
    <row r="9" spans="2:6" x14ac:dyDescent="0.75">
      <c r="B9">
        <f>'main calculations'!A14</f>
        <v>2014</v>
      </c>
      <c r="C9" s="3"/>
      <c r="D9" s="3"/>
      <c r="E9" s="3"/>
      <c r="F9" s="3"/>
    </row>
    <row r="10" spans="2:6" x14ac:dyDescent="0.75">
      <c r="B10">
        <f>'main calculations'!A15</f>
        <v>2015</v>
      </c>
      <c r="C10" s="3"/>
      <c r="D10" s="3"/>
      <c r="E10" s="3"/>
      <c r="F10" s="3"/>
    </row>
    <row r="11" spans="2:6" x14ac:dyDescent="0.75">
      <c r="B11">
        <f>'main calculations'!A16</f>
        <v>2016</v>
      </c>
      <c r="C11" s="3"/>
      <c r="D11" s="3"/>
      <c r="E11" s="3"/>
      <c r="F11" s="3"/>
    </row>
    <row r="12" spans="2:6" x14ac:dyDescent="0.75">
      <c r="B12">
        <f>'main calculations'!A17</f>
        <v>2017</v>
      </c>
      <c r="C12" s="3"/>
      <c r="D12" s="3"/>
      <c r="E12" s="3"/>
      <c r="F12" s="3"/>
    </row>
    <row r="13" spans="2:6" x14ac:dyDescent="0.75">
      <c r="B13">
        <f>'main calculations'!A18</f>
        <v>2018</v>
      </c>
      <c r="C13" s="3"/>
      <c r="D13" s="3"/>
      <c r="E13" s="3"/>
      <c r="F13" s="3"/>
    </row>
    <row r="14" spans="2:6" x14ac:dyDescent="0.75">
      <c r="B14">
        <f>'main calculations'!A19</f>
        <v>2019</v>
      </c>
      <c r="C14" s="3"/>
      <c r="D14" s="3"/>
      <c r="E14" s="3"/>
      <c r="F14" s="3"/>
    </row>
    <row r="15" spans="2:6" x14ac:dyDescent="0.75">
      <c r="B15">
        <f>'main calculations'!A20</f>
        <v>2020</v>
      </c>
      <c r="C15" s="3"/>
      <c r="D15" s="3"/>
      <c r="E15" s="3"/>
      <c r="F15" s="3"/>
    </row>
    <row r="16" spans="2:6" x14ac:dyDescent="0.75">
      <c r="B16">
        <f>'main calculations'!A21</f>
        <v>2021</v>
      </c>
      <c r="C16" s="3"/>
      <c r="D16" s="3"/>
      <c r="E16" s="3"/>
      <c r="F16" s="3"/>
    </row>
    <row r="17" spans="2:6" x14ac:dyDescent="0.75">
      <c r="B17">
        <f>'main calculations'!A22</f>
        <v>2022</v>
      </c>
      <c r="C17" s="3"/>
      <c r="D17" s="3"/>
      <c r="E17" s="3"/>
      <c r="F17" s="3"/>
    </row>
    <row r="18" spans="2:6" x14ac:dyDescent="0.75">
      <c r="B18">
        <f>'main calculations'!A23</f>
        <v>2023</v>
      </c>
      <c r="C18" s="3">
        <f>'main calculations'!AF23</f>
        <v>6.8035063699722735E-4</v>
      </c>
      <c r="D18" s="3">
        <f>'main calculations'!AG23</f>
        <v>0.10205259554958411</v>
      </c>
      <c r="E18" s="3">
        <f>'main calculations'!AH23</f>
        <v>0.13607012739944546</v>
      </c>
      <c r="F18" s="3">
        <f>'main calculations'!AI23</f>
        <v>0</v>
      </c>
    </row>
    <row r="19" spans="2:6" x14ac:dyDescent="0.75">
      <c r="B19">
        <f>'main calculations'!A24</f>
        <v>2024</v>
      </c>
      <c r="C19" s="3">
        <f>'main calculations'!AF24</f>
        <v>2.7214025479889094E-3</v>
      </c>
      <c r="D19" s="3">
        <f>'main calculations'!AG24</f>
        <v>0.40821038219833644</v>
      </c>
      <c r="E19" s="3">
        <f>'main calculations'!AH24</f>
        <v>0.54428050959778185</v>
      </c>
      <c r="F19" s="3">
        <f>'main calculations'!AI24</f>
        <v>0</v>
      </c>
    </row>
    <row r="20" spans="2:6" x14ac:dyDescent="0.75">
      <c r="B20">
        <f>'main calculations'!A25</f>
        <v>2025</v>
      </c>
      <c r="C20" s="3">
        <f>'main calculations'!AF25</f>
        <v>1.0885610191955638E-2</v>
      </c>
      <c r="D20" s="3">
        <f>'main calculations'!AG25</f>
        <v>1.6328415287933458</v>
      </c>
      <c r="E20" s="3">
        <f>'main calculations'!AH25</f>
        <v>2.1771220383911274</v>
      </c>
      <c r="F20" s="3">
        <f>'main calculations'!AI25</f>
        <v>0.10844665211241544</v>
      </c>
    </row>
    <row r="21" spans="2:6" x14ac:dyDescent="0.75">
      <c r="B21">
        <f>'main calculations'!A26</f>
        <v>2026</v>
      </c>
      <c r="C21" s="3">
        <f>'main calculations'!AF26</f>
        <v>4.354244076782255E-2</v>
      </c>
      <c r="D21" s="3">
        <f>'main calculations'!AG26</f>
        <v>6.5313661151733831</v>
      </c>
      <c r="E21" s="3">
        <f>'main calculations'!AH26</f>
        <v>8.7084881535645096</v>
      </c>
      <c r="F21" s="3">
        <f>'main calculations'!AI26</f>
        <v>0.32490119788594446</v>
      </c>
    </row>
    <row r="22" spans="2:6" x14ac:dyDescent="0.75">
      <c r="B22">
        <f>'main calculations'!A27</f>
        <v>2027</v>
      </c>
      <c r="C22" s="3">
        <f>'main calculations'!AF27</f>
        <v>9.2893597221117133E-2</v>
      </c>
      <c r="D22" s="3">
        <f>'main calculations'!AG27</f>
        <v>9.8702312906589178</v>
      </c>
      <c r="E22" s="3">
        <f>'main calculations'!AH27</f>
        <v>18.578719444223427</v>
      </c>
      <c r="F22" s="3">
        <f>'main calculations'!AI27</f>
        <v>0.51851557710100626</v>
      </c>
    </row>
    <row r="23" spans="2:6" x14ac:dyDescent="0.75">
      <c r="B23">
        <f>'main calculations'!A28</f>
        <v>2028</v>
      </c>
      <c r="C23" s="3">
        <f>'main calculations'!AF28</f>
        <v>0.14787649775633299</v>
      </c>
      <c r="D23" s="3">
        <f>'main calculations'!AG28</f>
        <v>10.996580107043172</v>
      </c>
      <c r="E23" s="3">
        <f>'main calculations'!AH28</f>
        <v>29.575299551266596</v>
      </c>
      <c r="F23" s="3">
        <f>'main calculations'!AI28</f>
        <v>0.62051273671729856</v>
      </c>
    </row>
    <row r="24" spans="2:6" x14ac:dyDescent="0.75">
      <c r="B24">
        <f>'main calculations'!A29</f>
        <v>2029</v>
      </c>
      <c r="C24" s="3">
        <f>'main calculations'!AF29</f>
        <v>0.20929407785302581</v>
      </c>
      <c r="D24" s="3">
        <f>'main calculations'!AG29</f>
        <v>12.283516019338563</v>
      </c>
      <c r="E24" s="3">
        <f>'main calculations'!AH29</f>
        <v>41.858815570605159</v>
      </c>
      <c r="F24" s="3">
        <f>'main calculations'!AI29</f>
        <v>0.66727872776760178</v>
      </c>
    </row>
    <row r="25" spans="2:6" x14ac:dyDescent="0.75">
      <c r="B25">
        <f>'main calculations'!A30</f>
        <v>2030</v>
      </c>
      <c r="C25" s="3">
        <f>'main calculations'!AF30</f>
        <v>0.27745523145363837</v>
      </c>
      <c r="D25" s="3">
        <f>'main calculations'!AG30</f>
        <v>13.632230720122513</v>
      </c>
      <c r="E25" s="3">
        <f>'main calculations'!AH30</f>
        <v>55.491046290727674</v>
      </c>
      <c r="F25" s="3">
        <f>'main calculations'!AI30</f>
        <v>0.68285767404498121</v>
      </c>
    </row>
    <row r="26" spans="2:6" x14ac:dyDescent="0.75">
      <c r="B26">
        <f>'main calculations'!A31</f>
        <v>2031</v>
      </c>
      <c r="C26" s="3">
        <f>'main calculations'!AF31</f>
        <v>0.35191197018698156</v>
      </c>
      <c r="D26" s="3">
        <f>'main calculations'!AG31</f>
        <v>14.891347746668638</v>
      </c>
      <c r="E26" s="3">
        <f>'main calculations'!AH31</f>
        <v>70.38239403739631</v>
      </c>
      <c r="F26" s="3">
        <f>'main calculations'!AI31</f>
        <v>0.68227786614034647</v>
      </c>
    </row>
    <row r="27" spans="2:6" x14ac:dyDescent="0.75">
      <c r="B27">
        <f>'main calculations'!A32</f>
        <v>2032</v>
      </c>
      <c r="C27" s="3">
        <f>'main calculations'!AF32</f>
        <v>0.43136215900810893</v>
      </c>
      <c r="D27" s="3">
        <f>'main calculations'!AG32</f>
        <v>15.890037764225474</v>
      </c>
      <c r="E27" s="3">
        <f>'main calculations'!AH32</f>
        <v>86.272431801621778</v>
      </c>
      <c r="F27" s="3">
        <f>'main calculations'!AI32</f>
        <v>0.67441033094140612</v>
      </c>
    </row>
    <row r="28" spans="2:6" x14ac:dyDescent="0.75">
      <c r="B28">
        <f>'main calculations'!A33</f>
        <v>2033</v>
      </c>
      <c r="C28" s="3">
        <f>'main calculations'!AF33</f>
        <v>0.51383708558355046</v>
      </c>
      <c r="D28" s="3">
        <f>'main calculations'!AG33</f>
        <v>16.494985315088307</v>
      </c>
      <c r="E28" s="3">
        <f>'main calculations'!AH33</f>
        <v>102.76741711671009</v>
      </c>
      <c r="F28" s="3">
        <f>'main calculations'!AI33</f>
        <v>0.66413331078450888</v>
      </c>
    </row>
    <row r="29" spans="2:6" x14ac:dyDescent="0.75">
      <c r="B29">
        <f>'main calculations'!A34</f>
        <v>2034</v>
      </c>
      <c r="C29" s="3">
        <f>'main calculations'!AF34</f>
        <v>0.59713081012575731</v>
      </c>
      <c r="D29" s="3">
        <f>'main calculations'!AG34</f>
        <v>16.658744908441371</v>
      </c>
      <c r="E29" s="3">
        <f>'main calculations'!AH34</f>
        <v>119.42616202515147</v>
      </c>
      <c r="F29" s="3">
        <f>'main calculations'!AI34</f>
        <v>0.65387073568402709</v>
      </c>
    </row>
    <row r="30" spans="2:6" x14ac:dyDescent="0.75">
      <c r="B30">
        <f>'main calculations'!A35</f>
        <v>2035</v>
      </c>
      <c r="C30" s="3">
        <f>'main calculations'!AF35</f>
        <v>0.67925799965515399</v>
      </c>
      <c r="D30" s="3">
        <f>'main calculations'!AG35</f>
        <v>16.425437905879338</v>
      </c>
      <c r="E30" s="3">
        <f>'main calculations'!AH35</f>
        <v>135.85159993103079</v>
      </c>
      <c r="F30" s="3">
        <f>'main calculations'!AI35</f>
        <v>0.6446402853800457</v>
      </c>
    </row>
    <row r="31" spans="2:6" x14ac:dyDescent="0.75">
      <c r="B31">
        <f>'main calculations'!A36</f>
        <v>2036</v>
      </c>
      <c r="C31" s="3">
        <f>'main calculations'!AF36</f>
        <v>0.75873072263963992</v>
      </c>
      <c r="D31" s="3">
        <f>'main calculations'!AG36</f>
        <v>15.894544596897187</v>
      </c>
      <c r="E31" s="3">
        <f>'main calculations'!AH36</f>
        <v>151.74614452792798</v>
      </c>
      <c r="F31" s="3">
        <f>'main calculations'!AI36</f>
        <v>0.63672920963272128</v>
      </c>
    </row>
    <row r="32" spans="2:6" x14ac:dyDescent="0.75">
      <c r="B32">
        <f>'main calculations'!A37</f>
        <v>2037</v>
      </c>
      <c r="C32" s="3">
        <f>'main calculations'!AF37</f>
        <v>0.83460607418786059</v>
      </c>
      <c r="D32" s="3">
        <f>'main calculations'!AG37</f>
        <v>15.175070309644134</v>
      </c>
      <c r="E32" s="3">
        <f>'main calculations'!AH37</f>
        <v>166.92121483757211</v>
      </c>
      <c r="F32" s="3">
        <f>'main calculations'!AI37</f>
        <v>0.63009446462629481</v>
      </c>
    </row>
    <row r="33" spans="2:6" x14ac:dyDescent="0.75">
      <c r="B33">
        <f>'main calculations'!A38</f>
        <v>2038</v>
      </c>
      <c r="C33" s="3">
        <f>'main calculations'!AF38</f>
        <v>0.90639071396998516</v>
      </c>
      <c r="D33" s="3">
        <f>'main calculations'!AG38</f>
        <v>14.356927956424913</v>
      </c>
      <c r="E33" s="3">
        <f>'main calculations'!AH38</f>
        <v>181.27814279399703</v>
      </c>
      <c r="F33" s="3">
        <f>'main calculations'!AI38</f>
        <v>0.62457440349349236</v>
      </c>
    </row>
    <row r="34" spans="2:6" x14ac:dyDescent="0.75">
      <c r="B34">
        <f>'main calculations'!A39</f>
        <v>2039</v>
      </c>
      <c r="C34" s="3">
        <f>'main calculations'!AF39</f>
        <v>0.97390551089542954</v>
      </c>
      <c r="D34" s="3">
        <f>'main calculations'!AG39</f>
        <v>13.502959385088875</v>
      </c>
      <c r="E34" s="3">
        <f>'main calculations'!AH39</f>
        <v>194.78110217908591</v>
      </c>
      <c r="F34" s="3">
        <f>'main calculations'!AI39</f>
        <v>0.61998683272837352</v>
      </c>
    </row>
    <row r="35" spans="2:6" x14ac:dyDescent="0.75">
      <c r="B35">
        <f>'main calculations'!A40</f>
        <v>2040</v>
      </c>
      <c r="C35" s="3">
        <f>'main calculations'!AF40</f>
        <v>1.0371680220590906</v>
      </c>
      <c r="D35" s="3">
        <f>'main calculations'!AG40</f>
        <v>12.652502232732221</v>
      </c>
      <c r="E35" s="3">
        <f>'main calculations'!AH40</f>
        <v>207.43360441181812</v>
      </c>
      <c r="F35" s="3">
        <f>'main calculations'!AI40</f>
        <v>0.6161672176847971</v>
      </c>
    </row>
    <row r="36" spans="2:6" x14ac:dyDescent="0.75">
      <c r="B36">
        <f>'main calculations'!A41</f>
        <v>2041</v>
      </c>
      <c r="C36" s="3">
        <f>'main calculations'!AF41</f>
        <v>1.0963087600122603</v>
      </c>
      <c r="D36" s="3">
        <f>'main calculations'!AG41</f>
        <v>11.828147590633931</v>
      </c>
      <c r="E36" s="3">
        <f>'main calculations'!AH41</f>
        <v>219.26175200245208</v>
      </c>
      <c r="F36" s="3">
        <f>'main calculations'!AI41</f>
        <v>0.61297919657293443</v>
      </c>
    </row>
    <row r="37" spans="2:6" x14ac:dyDescent="0.75">
      <c r="B37">
        <f>'main calculations'!A42</f>
        <v>2042</v>
      </c>
      <c r="C37" s="3">
        <f>'main calculations'!AF42</f>
        <v>1.1515174723223685</v>
      </c>
      <c r="D37" s="3">
        <f>'main calculations'!AG42</f>
        <v>11.041742462021631</v>
      </c>
      <c r="E37" s="3">
        <f>'main calculations'!AH42</f>
        <v>230.30349446447369</v>
      </c>
      <c r="F37" s="3">
        <f>'main calculations'!AI42</f>
        <v>0.61031394787874405</v>
      </c>
    </row>
    <row r="38" spans="2:6" x14ac:dyDescent="0.75">
      <c r="B38">
        <f>'main calculations'!A43</f>
        <v>2043</v>
      </c>
      <c r="C38" s="3">
        <f>'main calculations'!AF43</f>
        <v>1.2030107656219562</v>
      </c>
      <c r="D38" s="3">
        <f>'main calculations'!AG43</f>
        <v>10.298658659917548</v>
      </c>
      <c r="E38" s="3">
        <f>'main calculations'!AH43</f>
        <v>240.60215312439124</v>
      </c>
      <c r="F38" s="3">
        <f>'main calculations'!AI43</f>
        <v>0.60808596384956448</v>
      </c>
    </row>
    <row r="39" spans="2:6" x14ac:dyDescent="0.75">
      <c r="B39">
        <f>'main calculations'!A44</f>
        <v>2044</v>
      </c>
      <c r="C39" s="3">
        <f>'main calculations'!AF44</f>
        <v>1.2510134136432127</v>
      </c>
      <c r="D39" s="3">
        <f>'main calculations'!AG44</f>
        <v>9.6005296042513066</v>
      </c>
      <c r="E39" s="3">
        <f>'main calculations'!AH44</f>
        <v>250.20268272864254</v>
      </c>
      <c r="F39" s="3">
        <f>'main calculations'!AI44</f>
        <v>0.60622831119933185</v>
      </c>
    </row>
    <row r="40" spans="2:6" x14ac:dyDescent="0.75">
      <c r="B40">
        <f>'main calculations'!A45</f>
        <v>2045</v>
      </c>
      <c r="C40" s="3">
        <f>'main calculations'!AF45</f>
        <v>1.2957479639150165</v>
      </c>
      <c r="D40" s="3">
        <f>'main calculations'!AG45</f>
        <v>8.946910054360746</v>
      </c>
      <c r="E40" s="3">
        <f>'main calculations'!AH45</f>
        <v>259.1495927830033</v>
      </c>
      <c r="F40" s="3">
        <f>'main calculations'!AI45</f>
        <v>0.6046884537277567</v>
      </c>
    </row>
    <row r="41" spans="2:6" x14ac:dyDescent="0.75">
      <c r="B41">
        <f>'main calculations'!A46</f>
        <v>2046</v>
      </c>
      <c r="C41" s="3">
        <f>'main calculations'!AF46</f>
        <v>1.3374292166419877</v>
      </c>
      <c r="D41" s="3">
        <f>'main calculations'!AG46</f>
        <v>8.3362505453942415</v>
      </c>
      <c r="E41" s="3">
        <f>'main calculations'!AH46</f>
        <v>267.48584332839755</v>
      </c>
      <c r="F41" s="3">
        <f>'main calculations'!AI46</f>
        <v>0.6034248880817018</v>
      </c>
    </row>
    <row r="42" spans="2:6" x14ac:dyDescent="0.75">
      <c r="B42">
        <f>'main calculations'!A47</f>
        <v>2047</v>
      </c>
      <c r="C42" s="3">
        <f>'main calculations'!AF47</f>
        <v>1.3762615039201376</v>
      </c>
      <c r="D42" s="3">
        <f>'main calculations'!AG47</f>
        <v>7.7664574556299826</v>
      </c>
      <c r="E42" s="3">
        <f>'main calculations'!AH47</f>
        <v>275.25230078402751</v>
      </c>
      <c r="F42" s="3">
        <f>'main calculations'!AI47</f>
        <v>0.60240454283542433</v>
      </c>
    </row>
    <row r="43" spans="2:6" x14ac:dyDescent="0.75">
      <c r="B43">
        <f>'main calculations'!A48</f>
        <v>2048</v>
      </c>
      <c r="C43" s="3">
        <f>'main calculations'!AF48</f>
        <v>1.4124375511577463</v>
      </c>
      <c r="D43" s="3">
        <f>'main calculations'!AG48</f>
        <v>7.2352094475217399</v>
      </c>
      <c r="E43" s="3">
        <f>'main calculations'!AH48</f>
        <v>282.48751023154927</v>
      </c>
      <c r="F43" s="3">
        <f>'main calculations'!AI48</f>
        <v>0.6016008051884405</v>
      </c>
    </row>
    <row r="44" spans="2:6" x14ac:dyDescent="0.75">
      <c r="B44">
        <f>'main calculations'!A49</f>
        <v>2049</v>
      </c>
      <c r="C44" s="3">
        <f>'main calculations'!AF49</f>
        <v>1.446138216144401</v>
      </c>
      <c r="D44" s="3">
        <f>'main calculations'!AG49</f>
        <v>6.7401329973309387</v>
      </c>
      <c r="E44" s="3">
        <f>'main calculations'!AH49</f>
        <v>289.2276432288802</v>
      </c>
      <c r="F44" s="3">
        <f>'main calculations'!AI49</f>
        <v>0.60099203492015507</v>
      </c>
    </row>
    <row r="45" spans="2:6" x14ac:dyDescent="0.75">
      <c r="B45">
        <f>'main calculations'!A50</f>
        <v>2050</v>
      </c>
      <c r="C45" s="3">
        <f>'main calculations'!AF50</f>
        <v>1.4775327025216642</v>
      </c>
      <c r="D45" s="3">
        <f>'main calculations'!AG50</f>
        <v>6.2788972754526551</v>
      </c>
      <c r="E45" s="3">
        <f>'main calculations'!AH50</f>
        <v>295.50654050433286</v>
      </c>
      <c r="F45" s="3">
        <f>'main calculations'!AI50</f>
        <v>0.60056044644652484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3E12F-8379-4652-8F12-4653E3A8BEA1}">
  <dimension ref="B2:C45"/>
  <sheetViews>
    <sheetView workbookViewId="0">
      <selection activeCell="E17" sqref="E17"/>
    </sheetView>
  </sheetViews>
  <sheetFormatPr defaultRowHeight="14.75" x14ac:dyDescent="0.75"/>
  <cols>
    <col min="3" max="3" width="14.7265625" customWidth="1"/>
  </cols>
  <sheetData>
    <row r="2" spans="2:3" s="30" customFormat="1" x14ac:dyDescent="0.75">
      <c r="C2" s="30" t="s">
        <v>130</v>
      </c>
    </row>
    <row r="4" spans="2:3" ht="47.5" customHeight="1" x14ac:dyDescent="0.75">
      <c r="B4" t="str">
        <f>'main calculations'!A9</f>
        <v>Year</v>
      </c>
      <c r="C4" s="42" t="str">
        <f>'main calculations'!AK9</f>
        <v>Water saved if irrigated corn is replaced [Gm3]</v>
      </c>
    </row>
    <row r="5" spans="2:3" x14ac:dyDescent="0.75">
      <c r="B5">
        <f>'main calculations'!A10</f>
        <v>2010</v>
      </c>
    </row>
    <row r="6" spans="2:3" x14ac:dyDescent="0.75">
      <c r="B6">
        <f>'main calculations'!A11</f>
        <v>2011</v>
      </c>
    </row>
    <row r="7" spans="2:3" x14ac:dyDescent="0.75">
      <c r="B7">
        <f>'main calculations'!A12</f>
        <v>2012</v>
      </c>
    </row>
    <row r="8" spans="2:3" x14ac:dyDescent="0.75">
      <c r="B8">
        <f>'main calculations'!A13</f>
        <v>2013</v>
      </c>
    </row>
    <row r="9" spans="2:3" x14ac:dyDescent="0.75">
      <c r="B9">
        <f>'main calculations'!A14</f>
        <v>2014</v>
      </c>
    </row>
    <row r="10" spans="2:3" x14ac:dyDescent="0.75">
      <c r="B10">
        <f>'main calculations'!A15</f>
        <v>2015</v>
      </c>
    </row>
    <row r="11" spans="2:3" x14ac:dyDescent="0.75">
      <c r="B11">
        <f>'main calculations'!A16</f>
        <v>2016</v>
      </c>
    </row>
    <row r="12" spans="2:3" x14ac:dyDescent="0.75">
      <c r="B12">
        <f>'main calculations'!A17</f>
        <v>2017</v>
      </c>
    </row>
    <row r="13" spans="2:3" x14ac:dyDescent="0.75">
      <c r="B13">
        <f>'main calculations'!A18</f>
        <v>2018</v>
      </c>
    </row>
    <row r="14" spans="2:3" x14ac:dyDescent="0.75">
      <c r="B14">
        <f>'main calculations'!A19</f>
        <v>2019</v>
      </c>
    </row>
    <row r="15" spans="2:3" x14ac:dyDescent="0.75">
      <c r="B15">
        <f>'main calculations'!A20</f>
        <v>2020</v>
      </c>
    </row>
    <row r="16" spans="2:3" x14ac:dyDescent="0.75">
      <c r="B16">
        <f>'main calculations'!A21</f>
        <v>2021</v>
      </c>
    </row>
    <row r="17" spans="2:3" x14ac:dyDescent="0.75">
      <c r="B17">
        <f>'main calculations'!A22</f>
        <v>2022</v>
      </c>
    </row>
    <row r="18" spans="2:3" x14ac:dyDescent="0.75">
      <c r="B18">
        <f>'main calculations'!A23</f>
        <v>2023</v>
      </c>
    </row>
    <row r="19" spans="2:3" x14ac:dyDescent="0.75">
      <c r="B19">
        <f>'main calculations'!A24</f>
        <v>2024</v>
      </c>
    </row>
    <row r="20" spans="2:3" x14ac:dyDescent="0.75">
      <c r="B20">
        <f>'main calculations'!A25</f>
        <v>2025</v>
      </c>
      <c r="C20" s="3">
        <f>'main calculations'!AK25</f>
        <v>0</v>
      </c>
    </row>
    <row r="21" spans="2:3" x14ac:dyDescent="0.75">
      <c r="B21">
        <f>'main calculations'!A26</f>
        <v>2026</v>
      </c>
      <c r="C21" s="3">
        <f>'main calculations'!AK26</f>
        <v>-0.59787462963713911</v>
      </c>
    </row>
    <row r="22" spans="2:3" x14ac:dyDescent="0.75">
      <c r="B22">
        <f>'main calculations'!A27</f>
        <v>2027</v>
      </c>
      <c r="C22" s="3">
        <f>'main calculations'!AK27</f>
        <v>-1.3618007961151286</v>
      </c>
    </row>
    <row r="23" spans="2:3" x14ac:dyDescent="0.75">
      <c r="B23">
        <f>'main calculations'!A28</f>
        <v>2028</v>
      </c>
      <c r="C23" s="3">
        <f>'main calculations'!AK28</f>
        <v>-2.2865553118302619</v>
      </c>
    </row>
    <row r="24" spans="2:3" x14ac:dyDescent="0.75">
      <c r="B24">
        <f>'main calculations'!A29</f>
        <v>2029</v>
      </c>
      <c r="C24" s="3">
        <f>'main calculations'!AK29</f>
        <v>-3.3969858939250632</v>
      </c>
    </row>
    <row r="25" spans="2:3" x14ac:dyDescent="0.75">
      <c r="B25">
        <f>'main calculations'!A30</f>
        <v>2030</v>
      </c>
      <c r="C25" s="3">
        <f>'main calculations'!AK30</f>
        <v>-4.7062270820170014</v>
      </c>
    </row>
    <row r="26" spans="2:3" x14ac:dyDescent="0.75">
      <c r="B26">
        <f>'main calculations'!A31</f>
        <v>2031</v>
      </c>
      <c r="C26" s="3">
        <f>'main calculations'!AK31</f>
        <v>-6.2083132113696422</v>
      </c>
    </row>
    <row r="27" spans="2:3" x14ac:dyDescent="0.75">
      <c r="B27">
        <f>'main calculations'!A32</f>
        <v>2032</v>
      </c>
      <c r="C27" s="3">
        <f>'main calculations'!AK32</f>
        <v>-7.8746787578063593</v>
      </c>
    </row>
    <row r="28" spans="2:3" x14ac:dyDescent="0.75">
      <c r="B28">
        <f>'main calculations'!A33</f>
        <v>2033</v>
      </c>
      <c r="C28" s="3">
        <f>'main calculations'!AK33</f>
        <v>-9.6579704643530011</v>
      </c>
    </row>
    <row r="29" spans="2:3" x14ac:dyDescent="0.75">
      <c r="B29">
        <f>'main calculations'!A34</f>
        <v>2034</v>
      </c>
      <c r="C29" s="3">
        <f>'main calculations'!AK34</f>
        <v>-11.502545859355415</v>
      </c>
    </row>
    <row r="30" spans="2:3" x14ac:dyDescent="0.75">
      <c r="B30">
        <f>'main calculations'!A35</f>
        <v>2035</v>
      </c>
      <c r="C30" s="3">
        <f>'main calculations'!AK35</f>
        <v>-13.356393644342019</v>
      </c>
    </row>
    <row r="31" spans="2:3" x14ac:dyDescent="0.75">
      <c r="B31">
        <f>'main calculations'!A36</f>
        <v>2036</v>
      </c>
      <c r="C31" s="3">
        <f>'main calculations'!AK36</f>
        <v>-17.954999999999998</v>
      </c>
    </row>
    <row r="32" spans="2:3" x14ac:dyDescent="0.75">
      <c r="B32">
        <f>'main calculations'!A37</f>
        <v>2037</v>
      </c>
      <c r="C32" s="3">
        <f>'main calculations'!AK37</f>
        <v>-17.954999999999998</v>
      </c>
    </row>
    <row r="33" spans="2:3" x14ac:dyDescent="0.75">
      <c r="B33">
        <f>'main calculations'!A38</f>
        <v>2038</v>
      </c>
      <c r="C33" s="3">
        <f>'main calculations'!AK38</f>
        <v>-17.954999999999998</v>
      </c>
    </row>
    <row r="34" spans="2:3" x14ac:dyDescent="0.75">
      <c r="B34">
        <f>'main calculations'!A39</f>
        <v>2039</v>
      </c>
      <c r="C34" s="3">
        <f>'main calculations'!AK39</f>
        <v>-17.954999999999998</v>
      </c>
    </row>
    <row r="35" spans="2:3" x14ac:dyDescent="0.75">
      <c r="B35">
        <f>'main calculations'!A40</f>
        <v>2040</v>
      </c>
      <c r="C35" s="3">
        <f>'main calculations'!AK40</f>
        <v>-17.954999999999998</v>
      </c>
    </row>
    <row r="36" spans="2:3" x14ac:dyDescent="0.75">
      <c r="B36">
        <f>'main calculations'!A41</f>
        <v>2041</v>
      </c>
      <c r="C36" s="3">
        <f>'main calculations'!AK41</f>
        <v>-17.954999999999998</v>
      </c>
    </row>
    <row r="37" spans="2:3" x14ac:dyDescent="0.75">
      <c r="B37">
        <f>'main calculations'!A42</f>
        <v>2042</v>
      </c>
      <c r="C37" s="3">
        <f>'main calculations'!AK42</f>
        <v>-17.954999999999998</v>
      </c>
    </row>
    <row r="38" spans="2:3" x14ac:dyDescent="0.75">
      <c r="B38">
        <f>'main calculations'!A43</f>
        <v>2043</v>
      </c>
      <c r="C38" s="3">
        <f>'main calculations'!AK43</f>
        <v>-17.954999999999998</v>
      </c>
    </row>
    <row r="39" spans="2:3" x14ac:dyDescent="0.75">
      <c r="B39">
        <f>'main calculations'!A44</f>
        <v>2044</v>
      </c>
      <c r="C39" s="3">
        <f>'main calculations'!AK44</f>
        <v>-17.954999999999998</v>
      </c>
    </row>
    <row r="40" spans="2:3" x14ac:dyDescent="0.75">
      <c r="B40">
        <f>'main calculations'!A45</f>
        <v>2045</v>
      </c>
      <c r="C40" s="3">
        <f>'main calculations'!AK45</f>
        <v>-17.954999999999998</v>
      </c>
    </row>
    <row r="41" spans="2:3" x14ac:dyDescent="0.75">
      <c r="B41">
        <f>'main calculations'!A46</f>
        <v>2046</v>
      </c>
      <c r="C41" s="3">
        <f>'main calculations'!AK46</f>
        <v>-17.954999999999998</v>
      </c>
    </row>
    <row r="42" spans="2:3" x14ac:dyDescent="0.75">
      <c r="B42">
        <f>'main calculations'!A47</f>
        <v>2047</v>
      </c>
      <c r="C42" s="3">
        <f>'main calculations'!AK47</f>
        <v>-17.954999999999998</v>
      </c>
    </row>
    <row r="43" spans="2:3" x14ac:dyDescent="0.75">
      <c r="B43">
        <f>'main calculations'!A48</f>
        <v>2048</v>
      </c>
      <c r="C43" s="3">
        <f>'main calculations'!AK48</f>
        <v>-17.954999999999998</v>
      </c>
    </row>
    <row r="44" spans="2:3" x14ac:dyDescent="0.75">
      <c r="B44">
        <f>'main calculations'!A49</f>
        <v>2049</v>
      </c>
      <c r="C44" s="3">
        <f>'main calculations'!AK49</f>
        <v>-17.954999999999998</v>
      </c>
    </row>
    <row r="45" spans="2:3" x14ac:dyDescent="0.75">
      <c r="B45">
        <f>'main calculations'!A50</f>
        <v>2050</v>
      </c>
      <c r="C45" s="3">
        <f>'main calculations'!AK50</f>
        <v>-17.954999999999998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F839-61DE-409C-B6E5-D05845F83A16}">
  <dimension ref="B2:E45"/>
  <sheetViews>
    <sheetView workbookViewId="0">
      <selection activeCell="H4" sqref="H4"/>
    </sheetView>
  </sheetViews>
  <sheetFormatPr defaultRowHeight="14.75" x14ac:dyDescent="0.75"/>
  <cols>
    <col min="3" max="3" width="13.31640625" customWidth="1"/>
    <col min="4" max="5" width="12.76953125" customWidth="1"/>
  </cols>
  <sheetData>
    <row r="2" spans="2:5" s="30" customFormat="1" x14ac:dyDescent="0.75">
      <c r="C2" s="30" t="s">
        <v>131</v>
      </c>
    </row>
    <row r="4" spans="2:5" ht="44.25" x14ac:dyDescent="0.75">
      <c r="B4" t="s">
        <v>0</v>
      </c>
      <c r="C4" s="6" t="str">
        <f>'main calculations'!AN9</f>
        <v>Nitrogen fertilizer saved [%]</v>
      </c>
      <c r="D4" s="6" t="str">
        <f>'main calculations'!AO9</f>
        <v>Phosphate fertilizer saved [%]</v>
      </c>
      <c r="E4" s="6" t="str">
        <f>'main calculations'!AP9</f>
        <v>Potash fertilizer saved [%]</v>
      </c>
    </row>
    <row r="5" spans="2:5" x14ac:dyDescent="0.75">
      <c r="B5">
        <f>'main calculations'!A10</f>
        <v>2010</v>
      </c>
    </row>
    <row r="6" spans="2:5" x14ac:dyDescent="0.75">
      <c r="B6">
        <f>'main calculations'!A11</f>
        <v>2011</v>
      </c>
    </row>
    <row r="7" spans="2:5" x14ac:dyDescent="0.75">
      <c r="B7">
        <f>'main calculations'!A12</f>
        <v>2012</v>
      </c>
    </row>
    <row r="8" spans="2:5" x14ac:dyDescent="0.75">
      <c r="B8">
        <f>'main calculations'!A13</f>
        <v>2013</v>
      </c>
    </row>
    <row r="9" spans="2:5" x14ac:dyDescent="0.75">
      <c r="B9">
        <f>'main calculations'!A14</f>
        <v>2014</v>
      </c>
    </row>
    <row r="10" spans="2:5" x14ac:dyDescent="0.75">
      <c r="B10">
        <f>'main calculations'!A15</f>
        <v>2015</v>
      </c>
    </row>
    <row r="11" spans="2:5" x14ac:dyDescent="0.75">
      <c r="B11">
        <f>'main calculations'!A16</f>
        <v>2016</v>
      </c>
    </row>
    <row r="12" spans="2:5" x14ac:dyDescent="0.75">
      <c r="B12">
        <f>'main calculations'!A17</f>
        <v>2017</v>
      </c>
    </row>
    <row r="13" spans="2:5" x14ac:dyDescent="0.75">
      <c r="B13">
        <f>'main calculations'!A18</f>
        <v>2018</v>
      </c>
    </row>
    <row r="14" spans="2:5" x14ac:dyDescent="0.75">
      <c r="B14">
        <f>'main calculations'!A19</f>
        <v>2019</v>
      </c>
    </row>
    <row r="15" spans="2:5" x14ac:dyDescent="0.75">
      <c r="B15">
        <f>'main calculations'!A20</f>
        <v>2020</v>
      </c>
    </row>
    <row r="16" spans="2:5" x14ac:dyDescent="0.75">
      <c r="B16">
        <f>'main calculations'!A21</f>
        <v>2021</v>
      </c>
    </row>
    <row r="17" spans="2:5" x14ac:dyDescent="0.75">
      <c r="B17">
        <f>'main calculations'!A22</f>
        <v>2022</v>
      </c>
    </row>
    <row r="18" spans="2:5" x14ac:dyDescent="0.75">
      <c r="B18">
        <f>'main calculations'!A23</f>
        <v>2023</v>
      </c>
    </row>
    <row r="19" spans="2:5" x14ac:dyDescent="0.75">
      <c r="B19">
        <f>'main calculations'!A24</f>
        <v>2024</v>
      </c>
    </row>
    <row r="20" spans="2:5" x14ac:dyDescent="0.75">
      <c r="B20">
        <f>'main calculations'!A25</f>
        <v>2025</v>
      </c>
      <c r="C20" s="21">
        <f>'main calculations'!AN25</f>
        <v>-3.0216249761971935E-3</v>
      </c>
      <c r="D20" s="21">
        <f>'main calculations'!AO25</f>
        <v>-3.4009631766721664E-3</v>
      </c>
      <c r="E20" s="21">
        <f>'main calculations'!AP25</f>
        <v>-1.7909327366518325E-3</v>
      </c>
    </row>
    <row r="21" spans="2:5" x14ac:dyDescent="0.75">
      <c r="B21">
        <f>'main calculations'!A26</f>
        <v>2026</v>
      </c>
      <c r="C21" s="21">
        <f>'main calculations'!AN26</f>
        <v>-6.3065708244147258E-3</v>
      </c>
      <c r="D21" s="21">
        <f>'main calculations'!AO26</f>
        <v>-7.0983048240165743E-3</v>
      </c>
      <c r="E21" s="21">
        <f>'main calculations'!AP26</f>
        <v>-3.7379371147746856E-3</v>
      </c>
    </row>
    <row r="22" spans="2:5" x14ac:dyDescent="0.75">
      <c r="B22">
        <f>'main calculations'!A27</f>
        <v>2027</v>
      </c>
      <c r="C22" s="21">
        <f>'main calculations'!AN27</f>
        <v>-9.930257137418871E-3</v>
      </c>
      <c r="D22" s="21">
        <f>'main calculations'!AO27</f>
        <v>-1.1176912795363234E-2</v>
      </c>
      <c r="E22" s="21">
        <f>'main calculations'!AP27</f>
        <v>-5.8857147167072346E-3</v>
      </c>
    </row>
    <row r="23" spans="2:5" x14ac:dyDescent="0.75">
      <c r="B23">
        <f>'main calculations'!A28</f>
        <v>2028</v>
      </c>
      <c r="C23" s="21">
        <f>'main calculations'!AN28</f>
        <v>-1.3967463120773882E-2</v>
      </c>
      <c r="D23" s="21">
        <f>'main calculations'!AO28</f>
        <v>-1.5720954161909998E-2</v>
      </c>
      <c r="E23" s="21">
        <f>'main calculations'!AP28</f>
        <v>-8.278587563984521E-3</v>
      </c>
    </row>
    <row r="24" spans="2:5" x14ac:dyDescent="0.75">
      <c r="B24">
        <f>'main calculations'!A29</f>
        <v>2029</v>
      </c>
      <c r="C24" s="21">
        <f>'main calculations'!AN29</f>
        <v>-1.8477145575426152E-2</v>
      </c>
      <c r="D24" s="21">
        <f>'main calculations'!AO29</f>
        <v>-2.079678722775238E-2</v>
      </c>
      <c r="E24" s="21">
        <f>'main calculations'!AP29</f>
        <v>-1.0951499657167477E-2</v>
      </c>
    </row>
    <row r="25" spans="2:5" x14ac:dyDescent="0.75">
      <c r="B25">
        <f>'main calculations'!A30</f>
        <v>2030</v>
      </c>
      <c r="C25" s="21">
        <f>'main calculations'!AN30</f>
        <v>-2.3481985525121474E-2</v>
      </c>
      <c r="D25" s="21">
        <f>'main calculations'!AO30</f>
        <v>-2.6429940417885652E-2</v>
      </c>
      <c r="E25" s="21">
        <f>'main calculations'!AP30</f>
        <v>-1.3917894156227019E-2</v>
      </c>
    </row>
    <row r="26" spans="2:5" x14ac:dyDescent="0.75">
      <c r="B26">
        <f>'main calculations'!A31</f>
        <v>2031</v>
      </c>
      <c r="C26" s="21">
        <f>'main calculations'!AN31</f>
        <v>-2.8949088718828495E-2</v>
      </c>
      <c r="D26" s="21">
        <f>'main calculations'!AO31</f>
        <v>-3.2583389899980129E-2</v>
      </c>
      <c r="E26" s="21">
        <f>'main calculations'!AP31</f>
        <v>-1.7158274468606557E-2</v>
      </c>
    </row>
    <row r="27" spans="2:5" x14ac:dyDescent="0.75">
      <c r="B27">
        <f>'main calculations'!A32</f>
        <v>2032</v>
      </c>
      <c r="C27" s="21">
        <f>'main calculations'!AN32</f>
        <v>-3.4782843842058125E-2</v>
      </c>
      <c r="D27" s="21">
        <f>'main calculations'!AO32</f>
        <v>-3.914952120751132E-2</v>
      </c>
      <c r="E27" s="21">
        <f>'main calculations'!AP32</f>
        <v>-2.0615971274168192E-2</v>
      </c>
    </row>
    <row r="28" spans="2:5" x14ac:dyDescent="0.75">
      <c r="B28">
        <f>'main calculations'!A33</f>
        <v>2033</v>
      </c>
      <c r="C28" s="21">
        <f>'main calculations'!AN33</f>
        <v>-4.0838695094101027E-2</v>
      </c>
      <c r="D28" s="21">
        <f>'main calculations'!AO33</f>
        <v>-4.5965630841845323E-2</v>
      </c>
      <c r="E28" s="21">
        <f>'main calculations'!AP33</f>
        <v>-2.4205305602886633E-2</v>
      </c>
    </row>
    <row r="29" spans="2:5" x14ac:dyDescent="0.75">
      <c r="B29">
        <f>'main calculations'!A34</f>
        <v>2034</v>
      </c>
      <c r="C29" s="21">
        <f>'main calculations'!AN34</f>
        <v>-4.6954667875172162E-2</v>
      </c>
      <c r="D29" s="21">
        <f>'main calculations'!AO34</f>
        <v>-5.2849409729631008E-2</v>
      </c>
      <c r="E29" s="21">
        <f>'main calculations'!AP34</f>
        <v>-2.7830274272518458E-2</v>
      </c>
    </row>
    <row r="30" spans="2:5" x14ac:dyDescent="0.75">
      <c r="B30">
        <f>'main calculations'!A35</f>
        <v>2035</v>
      </c>
      <c r="C30" s="21">
        <f>'main calculations'!AN35</f>
        <v>-5.2984985987470506E-2</v>
      </c>
      <c r="D30" s="21">
        <f>'main calculations'!AO35</f>
        <v>-5.9636780765118337E-2</v>
      </c>
      <c r="E30" s="21">
        <f>'main calculations'!AP35</f>
        <v>-3.1404474977376147E-2</v>
      </c>
    </row>
    <row r="31" spans="2:5" x14ac:dyDescent="0.75">
      <c r="B31">
        <f>'main calculations'!A36</f>
        <v>2036</v>
      </c>
      <c r="C31" s="21">
        <f>'main calculations'!AN36</f>
        <v>-5.8820395717100613E-2</v>
      </c>
      <c r="D31" s="21">
        <f>'main calculations'!AO36</f>
        <v>-6.6204774400199826E-2</v>
      </c>
      <c r="E31" s="21">
        <f>'main calculations'!AP36</f>
        <v>-3.4863152476700972E-2</v>
      </c>
    </row>
    <row r="32" spans="2:5" x14ac:dyDescent="0.75">
      <c r="B32">
        <f>'main calculations'!A37</f>
        <v>2037</v>
      </c>
      <c r="C32" s="21">
        <f>'main calculations'!AN37</f>
        <v>-6.4391662788823092E-2</v>
      </c>
      <c r="D32" s="21">
        <f>'main calculations'!AO37</f>
        <v>-7.2475464610796569E-2</v>
      </c>
      <c r="E32" s="21">
        <f>'main calculations'!AP37</f>
        <v>-3.8165271257813091E-2</v>
      </c>
    </row>
    <row r="33" spans="2:5" x14ac:dyDescent="0.75">
      <c r="B33">
        <f>'main calculations'!A38</f>
        <v>2038</v>
      </c>
      <c r="C33" s="21">
        <f>'main calculations'!AN38</f>
        <v>-6.9662562912685397E-2</v>
      </c>
      <c r="D33" s="21">
        <f>'main calculations'!AO38</f>
        <v>-7.8408079468823402E-2</v>
      </c>
      <c r="E33" s="21">
        <f>'main calculations'!AP38</f>
        <v>-4.1289360996880402E-2</v>
      </c>
    </row>
    <row r="34" spans="2:5" x14ac:dyDescent="0.75">
      <c r="B34">
        <f>'main calculations'!A39</f>
        <v>2039</v>
      </c>
      <c r="C34" s="21">
        <f>'main calculations'!AN39</f>
        <v>-7.4619943106511724E-2</v>
      </c>
      <c r="D34" s="21">
        <f>'main calculations'!AO39</f>
        <v>-8.398781475191798E-2</v>
      </c>
      <c r="E34" s="21">
        <f>'main calculations'!AP39</f>
        <v>-4.4227625853403611E-2</v>
      </c>
    </row>
    <row r="35" spans="2:5" x14ac:dyDescent="0.75">
      <c r="B35">
        <f>'main calculations'!A40</f>
        <v>2040</v>
      </c>
      <c r="C35" s="21">
        <f>'main calculations'!AN40</f>
        <v>-7.9265092527619693E-2</v>
      </c>
      <c r="D35" s="21">
        <f>'main calculations'!AO40</f>
        <v>-8.9216121459658557E-2</v>
      </c>
      <c r="E35" s="21">
        <f>'main calculations'!AP40</f>
        <v>-4.6980829917586148E-2</v>
      </c>
    </row>
    <row r="36" spans="2:5" x14ac:dyDescent="0.75">
      <c r="B36">
        <f>'main calculations'!A41</f>
        <v>2041</v>
      </c>
      <c r="C36" s="21">
        <f>'main calculations'!AN41</f>
        <v>-8.3607594265439858E-2</v>
      </c>
      <c r="D36" s="21">
        <f>'main calculations'!AO41</f>
        <v>-9.4103785753308938E-2</v>
      </c>
      <c r="E36" s="21">
        <f>'main calculations'!AP41</f>
        <v>-4.955465313605098E-2</v>
      </c>
    </row>
    <row r="37" spans="2:5" x14ac:dyDescent="0.75">
      <c r="B37">
        <f>'main calculations'!A42</f>
        <v>2042</v>
      </c>
      <c r="C37" s="21">
        <f>'main calculations'!AN42</f>
        <v>-8.7661380833664579E-2</v>
      </c>
      <c r="D37" s="21">
        <f>'main calculations'!AO42</f>
        <v>-9.866648925001209E-2</v>
      </c>
      <c r="E37" s="21">
        <f>'main calculations'!AP42</f>
        <v>-5.1957353381655295E-2</v>
      </c>
    </row>
    <row r="38" spans="2:5" x14ac:dyDescent="0.75">
      <c r="B38">
        <f>'main calculations'!A43</f>
        <v>2043</v>
      </c>
      <c r="C38" s="21">
        <f>'main calculations'!AN43</f>
        <v>-9.1442356915102843E-2</v>
      </c>
      <c r="D38" s="21">
        <f>'main calculations'!AO43</f>
        <v>-0.10292213332435819</v>
      </c>
      <c r="E38" s="21">
        <f>'main calculations'!AP43</f>
        <v>-5.4198357442082234E-2</v>
      </c>
    </row>
    <row r="39" spans="2:5" x14ac:dyDescent="0.75">
      <c r="B39">
        <f>'main calculations'!A44</f>
        <v>2044</v>
      </c>
      <c r="C39" s="21">
        <f>'main calculations'!AN44</f>
        <v>-9.4967026874705582E-2</v>
      </c>
      <c r="D39" s="21">
        <f>'main calculations'!AO44</f>
        <v>-0.10688929431785046</v>
      </c>
      <c r="E39" s="21">
        <f>'main calculations'!AP44</f>
        <v>-5.6287447539719121E-2</v>
      </c>
    </row>
    <row r="40" spans="2:5" x14ac:dyDescent="0.75">
      <c r="B40">
        <f>'main calculations'!A45</f>
        <v>2045</v>
      </c>
      <c r="C40" s="21">
        <f>'main calculations'!AN45</f>
        <v>-9.8251731614942911E-2</v>
      </c>
      <c r="D40" s="21">
        <f>'main calculations'!AO45</f>
        <v>-0.11058636458824746</v>
      </c>
      <c r="E40" s="21">
        <f>'main calculations'!AP45</f>
        <v>-5.8234309011896267E-2</v>
      </c>
    </row>
    <row r="41" spans="2:5" x14ac:dyDescent="0.75">
      <c r="B41">
        <f>'main calculations'!A46</f>
        <v>2046</v>
      </c>
      <c r="C41" s="21">
        <f>'main calculations'!AN46</f>
        <v>-0.10131224317881145</v>
      </c>
      <c r="D41" s="21">
        <f>'main calculations'!AO46</f>
        <v>-0.11403109621857567</v>
      </c>
      <c r="E41" s="21">
        <f>'main calculations'!AP46</f>
        <v>-6.0048290029994629E-2</v>
      </c>
    </row>
    <row r="42" spans="2:5" x14ac:dyDescent="0.75">
      <c r="B42">
        <f>'main calculations'!A47</f>
        <v>2047</v>
      </c>
      <c r="C42" s="21">
        <f>'main calculations'!AN47</f>
        <v>-0.10416356497196232</v>
      </c>
      <c r="D42" s="21">
        <f>'main calculations'!AO47</f>
        <v>-0.11724037615891865</v>
      </c>
      <c r="E42" s="21">
        <f>'main calculations'!AP47</f>
        <v>-6.1738283190068848E-2</v>
      </c>
    </row>
    <row r="43" spans="2:5" x14ac:dyDescent="0.75">
      <c r="B43">
        <f>'main calculations'!A48</f>
        <v>2048</v>
      </c>
      <c r="C43" s="21">
        <f>'main calculations'!AN48</f>
        <v>-0.10681984816073777</v>
      </c>
      <c r="D43" s="21">
        <f>'main calculations'!AO48</f>
        <v>-0.12023013212896894</v>
      </c>
      <c r="E43" s="21">
        <f>'main calculations'!AP48</f>
        <v>-6.3312675961531506E-2</v>
      </c>
    </row>
    <row r="44" spans="2:5" x14ac:dyDescent="0.75">
      <c r="B44">
        <f>'main calculations'!A49</f>
        <v>2049</v>
      </c>
      <c r="C44" s="21">
        <f>'main calculations'!AN49</f>
        <v>-0.10929437251290472</v>
      </c>
      <c r="D44" s="21">
        <f>'main calculations'!AO49</f>
        <v>-0.12301531105348586</v>
      </c>
      <c r="E44" s="21">
        <f>'main calculations'!AP49</f>
        <v>-6.4779339331356905E-2</v>
      </c>
    </row>
    <row r="45" spans="2:5" x14ac:dyDescent="0.75">
      <c r="B45">
        <f>'main calculations'!A50</f>
        <v>2050</v>
      </c>
      <c r="C45" s="21">
        <f>'main calculations'!AN50</f>
        <v>-0.11159956207207442</v>
      </c>
      <c r="D45" s="21">
        <f>'main calculations'!AO50</f>
        <v>-0.12560989670449935</v>
      </c>
      <c r="E45" s="21">
        <f>'main calculations'!AP50</f>
        <v>-6.6145637094390614E-2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F5C99-297F-455B-8409-37A26959CC03}">
  <dimension ref="B2:D45"/>
  <sheetViews>
    <sheetView topLeftCell="A5" workbookViewId="0">
      <selection activeCell="G18" sqref="G18"/>
    </sheetView>
  </sheetViews>
  <sheetFormatPr defaultRowHeight="14.75" x14ac:dyDescent="0.75"/>
  <cols>
    <col min="3" max="4" width="13.6328125" customWidth="1"/>
  </cols>
  <sheetData>
    <row r="2" spans="2:4" s="30" customFormat="1" x14ac:dyDescent="0.75">
      <c r="C2" s="30" t="s">
        <v>133</v>
      </c>
    </row>
    <row r="4" spans="2:4" ht="44.25" x14ac:dyDescent="0.75">
      <c r="B4" t="s">
        <v>0</v>
      </c>
      <c r="C4" s="6" t="str">
        <f>'main calculations'!AS9</f>
        <v>Net income from ethanol (billion $)</v>
      </c>
      <c r="D4" s="6" t="str">
        <f>'main calculations'!AU9</f>
        <v>Income as solar producer (billion $)</v>
      </c>
    </row>
    <row r="5" spans="2:4" x14ac:dyDescent="0.75">
      <c r="B5">
        <f>'main calculations'!A10</f>
        <v>2010</v>
      </c>
      <c r="C5" s="2">
        <f>'main calculations'!AS10</f>
        <v>7.9018433378181792</v>
      </c>
    </row>
    <row r="6" spans="2:4" x14ac:dyDescent="0.75">
      <c r="B6">
        <f>'main calculations'!A11</f>
        <v>2011</v>
      </c>
      <c r="C6" s="2">
        <f>'main calculations'!AS11</f>
        <v>7.8939133788060056</v>
      </c>
    </row>
    <row r="7" spans="2:4" x14ac:dyDescent="0.75">
      <c r="B7">
        <f>'main calculations'!A12</f>
        <v>2012</v>
      </c>
      <c r="C7" s="2">
        <f>'main calculations'!AS12</f>
        <v>7.7733304420464089</v>
      </c>
    </row>
    <row r="8" spans="2:4" x14ac:dyDescent="0.75">
      <c r="B8">
        <f>'main calculations'!A13</f>
        <v>2013</v>
      </c>
      <c r="C8" s="2">
        <f>'main calculations'!AS13</f>
        <v>7.7658771871458363</v>
      </c>
    </row>
    <row r="9" spans="2:4" x14ac:dyDescent="0.75">
      <c r="B9">
        <f>'main calculations'!A14</f>
        <v>2014</v>
      </c>
      <c r="C9" s="2">
        <f>'main calculations'!AS14</f>
        <v>7.8282039226964031</v>
      </c>
    </row>
    <row r="10" spans="2:4" x14ac:dyDescent="0.75">
      <c r="B10">
        <f>'main calculations'!A15</f>
        <v>2015</v>
      </c>
      <c r="C10" s="2">
        <f>'main calculations'!AS15</f>
        <v>7.8219896873699959</v>
      </c>
    </row>
    <row r="11" spans="2:4" x14ac:dyDescent="0.75">
      <c r="B11">
        <f>'main calculations'!A16</f>
        <v>2016</v>
      </c>
      <c r="C11" s="2">
        <f>'main calculations'!AS16</f>
        <v>7.8846993522660167</v>
      </c>
    </row>
    <row r="12" spans="2:4" x14ac:dyDescent="0.75">
      <c r="B12">
        <f>'main calculations'!A17</f>
        <v>2017</v>
      </c>
      <c r="C12" s="2">
        <f>'main calculations'!AS17</f>
        <v>7.8325091640206761</v>
      </c>
    </row>
    <row r="13" spans="2:4" x14ac:dyDescent="0.75">
      <c r="B13">
        <f>'main calculations'!A18</f>
        <v>2018</v>
      </c>
      <c r="C13" s="2">
        <f>'main calculations'!AS18</f>
        <v>7.8417935707838868</v>
      </c>
    </row>
    <row r="14" spans="2:4" x14ac:dyDescent="0.75">
      <c r="B14">
        <f>'main calculations'!A19</f>
        <v>2019</v>
      </c>
      <c r="C14" s="2">
        <f>'main calculations'!AS19</f>
        <v>7.8280098751749607</v>
      </c>
    </row>
    <row r="15" spans="2:4" x14ac:dyDescent="0.75">
      <c r="B15">
        <f>'main calculations'!A20</f>
        <v>2020</v>
      </c>
      <c r="C15" s="2">
        <f>'main calculations'!AS20</f>
        <v>7.7796999485706095</v>
      </c>
    </row>
    <row r="16" spans="2:4" x14ac:dyDescent="0.75">
      <c r="B16">
        <f>'main calculations'!A21</f>
        <v>2021</v>
      </c>
      <c r="C16" s="2">
        <f>'main calculations'!AS21</f>
        <v>7.7259264404024837</v>
      </c>
    </row>
    <row r="17" spans="2:4" x14ac:dyDescent="0.75">
      <c r="B17">
        <f>'main calculations'!A22</f>
        <v>2022</v>
      </c>
      <c r="C17" s="2">
        <f>'main calculations'!AS22</f>
        <v>7.6703828653364372</v>
      </c>
    </row>
    <row r="18" spans="2:4" x14ac:dyDescent="0.75">
      <c r="B18">
        <f>'main calculations'!A23</f>
        <v>2023</v>
      </c>
      <c r="C18" s="2">
        <f>'main calculations'!AS23</f>
        <v>7.6079969719694311</v>
      </c>
    </row>
    <row r="19" spans="2:4" x14ac:dyDescent="0.75">
      <c r="B19">
        <f>'main calculations'!A24</f>
        <v>2024</v>
      </c>
      <c r="C19" s="2">
        <f>'main calculations'!AS24</f>
        <v>7.5362528180135655</v>
      </c>
      <c r="D19" s="2">
        <f>'main calculations'!AU24</f>
        <v>1.6328415287933457E-2</v>
      </c>
    </row>
    <row r="20" spans="2:4" x14ac:dyDescent="0.75">
      <c r="B20">
        <f>'main calculations'!A25</f>
        <v>2025</v>
      </c>
      <c r="C20" s="2">
        <f>'main calculations'!AS25</f>
        <v>7.4519225640983153</v>
      </c>
      <c r="D20" s="2">
        <f>'main calculations'!AU25</f>
        <v>6.5313661151733829E-2</v>
      </c>
    </row>
    <row r="21" spans="2:4" x14ac:dyDescent="0.75">
      <c r="B21">
        <f>'main calculations'!A26</f>
        <v>2026</v>
      </c>
      <c r="C21" s="2">
        <f>'main calculations'!AS26</f>
        <v>7.3510460650824365</v>
      </c>
      <c r="D21" s="2">
        <f>'main calculations'!AU26</f>
        <v>0.26125464460693532</v>
      </c>
    </row>
    <row r="22" spans="2:4" x14ac:dyDescent="0.75">
      <c r="B22">
        <f>'main calculations'!A27</f>
        <v>2027</v>
      </c>
      <c r="C22" s="2">
        <f>'main calculations'!AS27</f>
        <v>7.229081495222597</v>
      </c>
      <c r="D22" s="2">
        <f>'main calculations'!AU27</f>
        <v>0.55736158332670271</v>
      </c>
    </row>
    <row r="23" spans="2:4" x14ac:dyDescent="0.75">
      <c r="B23">
        <f>'main calculations'!A28</f>
        <v>2028</v>
      </c>
      <c r="C23" s="2">
        <f>'main calculations'!AS28</f>
        <v>7.0813490055226023</v>
      </c>
      <c r="D23" s="2">
        <f>'main calculations'!AU28</f>
        <v>0.88725898653799784</v>
      </c>
    </row>
    <row r="24" spans="2:4" x14ac:dyDescent="0.75">
      <c r="B24">
        <f>'main calculations'!A29</f>
        <v>2029</v>
      </c>
      <c r="C24" s="2">
        <f>'main calculations'!AS29</f>
        <v>6.9038653184142564</v>
      </c>
      <c r="D24" s="2">
        <f>'main calculations'!AU29</f>
        <v>1.2557644671181547</v>
      </c>
    </row>
    <row r="25" spans="2:4" x14ac:dyDescent="0.75">
      <c r="B25">
        <f>'main calculations'!A30</f>
        <v>2030</v>
      </c>
      <c r="C25" s="2">
        <f>'main calculations'!AS30</f>
        <v>6.694522343463186</v>
      </c>
      <c r="D25" s="2">
        <f>'main calculations'!AU30</f>
        <v>1.66473138872183</v>
      </c>
    </row>
    <row r="26" spans="2:4" x14ac:dyDescent="0.75">
      <c r="B26">
        <f>'main calculations'!A31</f>
        <v>2031</v>
      </c>
      <c r="C26" s="2">
        <f>'main calculations'!AS31</f>
        <v>6.454270812199006</v>
      </c>
      <c r="D26" s="2">
        <f>'main calculations'!AU31</f>
        <v>2.111471821121889</v>
      </c>
    </row>
    <row r="27" spans="2:4" x14ac:dyDescent="0.75">
      <c r="B27">
        <f>'main calculations'!A32</f>
        <v>2032</v>
      </c>
      <c r="C27" s="2">
        <f>'main calculations'!AS32</f>
        <v>6.1876816039500548</v>
      </c>
      <c r="D27" s="2">
        <f>'main calculations'!AU32</f>
        <v>2.5881729540486536</v>
      </c>
    </row>
    <row r="28" spans="2:4" x14ac:dyDescent="0.75">
      <c r="B28">
        <f>'main calculations'!A33</f>
        <v>2033</v>
      </c>
      <c r="C28" s="2">
        <f>'main calculations'!AS33</f>
        <v>5.9023360087764845</v>
      </c>
      <c r="D28" s="2">
        <f>'main calculations'!AU33</f>
        <v>3.0830225135013025</v>
      </c>
    </row>
    <row r="29" spans="2:4" x14ac:dyDescent="0.75">
      <c r="B29">
        <f>'main calculations'!A34</f>
        <v>2034</v>
      </c>
      <c r="C29" s="2">
        <f>'main calculations'!AS34</f>
        <v>5.6071447001848851</v>
      </c>
      <c r="D29" s="2">
        <f>'main calculations'!AU34</f>
        <v>3.5827848607545443</v>
      </c>
    </row>
    <row r="30" spans="2:4" x14ac:dyDescent="0.75">
      <c r="B30">
        <f>'main calculations'!A35</f>
        <v>2035</v>
      </c>
      <c r="C30" s="2">
        <f>'main calculations'!AS35</f>
        <v>5.3104384197180066</v>
      </c>
      <c r="D30" s="2">
        <f>'main calculations'!AU35</f>
        <v>4.0755479979309239</v>
      </c>
    </row>
    <row r="31" spans="2:4" x14ac:dyDescent="0.75">
      <c r="B31">
        <f>'main calculations'!A36</f>
        <v>2036</v>
      </c>
      <c r="C31" s="2">
        <f>'main calculations'!AS36</f>
        <v>5.0187277704939453</v>
      </c>
      <c r="D31" s="2">
        <f>'main calculations'!AU36</f>
        <v>4.5523843358378402</v>
      </c>
    </row>
    <row r="32" spans="2:4" x14ac:dyDescent="0.75">
      <c r="B32">
        <f>'main calculations'!A37</f>
        <v>2037</v>
      </c>
      <c r="C32" s="2">
        <f>'main calculations'!AS37</f>
        <v>4.7363943762681924</v>
      </c>
      <c r="D32" s="2">
        <f>'main calculations'!AU37</f>
        <v>5.0076364451271633</v>
      </c>
    </row>
    <row r="33" spans="2:4" x14ac:dyDescent="0.75">
      <c r="B33">
        <f>'main calculations'!A38</f>
        <v>2038</v>
      </c>
      <c r="C33" s="2">
        <f>'main calculations'!AS38</f>
        <v>4.4660002041640769</v>
      </c>
      <c r="D33" s="2">
        <f>'main calculations'!AU38</f>
        <v>5.4383442838199114</v>
      </c>
    </row>
    <row r="34" spans="2:4" x14ac:dyDescent="0.75">
      <c r="B34">
        <f>'main calculations'!A39</f>
        <v>2039</v>
      </c>
      <c r="C34" s="2">
        <f>'main calculations'!AS39</f>
        <v>4.2087973969416845</v>
      </c>
      <c r="D34" s="2">
        <f>'main calculations'!AU39</f>
        <v>5.8434330653725777</v>
      </c>
    </row>
    <row r="35" spans="2:4" x14ac:dyDescent="0.75">
      <c r="B35">
        <f>'main calculations'!A40</f>
        <v>2040</v>
      </c>
      <c r="C35" s="2">
        <f>'main calculations'!AS40</f>
        <v>3.9651910951250198</v>
      </c>
      <c r="D35" s="2">
        <f>'main calculations'!AU40</f>
        <v>6.2230081323545434</v>
      </c>
    </row>
    <row r="36" spans="2:4" x14ac:dyDescent="0.75">
      <c r="B36">
        <f>'main calculations'!A41</f>
        <v>2041</v>
      </c>
      <c r="C36" s="2">
        <f>'main calculations'!AS41</f>
        <v>3.735077966982566</v>
      </c>
      <c r="D36" s="2">
        <f>'main calculations'!AU41</f>
        <v>6.5778525600735627</v>
      </c>
    </row>
    <row r="37" spans="2:4" x14ac:dyDescent="0.75">
      <c r="B37">
        <f>'main calculations'!A42</f>
        <v>2042</v>
      </c>
      <c r="C37" s="2">
        <f>'main calculations'!AS42</f>
        <v>3.5180680828357489</v>
      </c>
      <c r="D37" s="2">
        <f>'main calculations'!AU42</f>
        <v>6.9091048339342107</v>
      </c>
    </row>
    <row r="38" spans="2:4" x14ac:dyDescent="0.75">
      <c r="B38">
        <f>'main calculations'!A43</f>
        <v>2043</v>
      </c>
      <c r="C38" s="2">
        <f>'main calculations'!AS43</f>
        <v>3.3136215439795804</v>
      </c>
      <c r="D38" s="2">
        <f>'main calculations'!AU43</f>
        <v>7.2180645937317367</v>
      </c>
    </row>
    <row r="39" spans="2:4" x14ac:dyDescent="0.75">
      <c r="B39">
        <f>'main calculations'!A44</f>
        <v>2044</v>
      </c>
      <c r="C39" s="2">
        <f>'main calculations'!AS44</f>
        <v>3.1211294136777323</v>
      </c>
      <c r="D39" s="2">
        <f>'main calculations'!AU44</f>
        <v>7.5060804818592759</v>
      </c>
    </row>
    <row r="40" spans="2:4" x14ac:dyDescent="0.75">
      <c r="B40">
        <f>'main calculations'!A45</f>
        <v>2045</v>
      </c>
      <c r="C40" s="2">
        <f>'main calculations'!AS45</f>
        <v>2.9399603179169396</v>
      </c>
      <c r="D40" s="2">
        <f>'main calculations'!AU45</f>
        <v>7.7744877834900992</v>
      </c>
    </row>
    <row r="41" spans="2:4" x14ac:dyDescent="0.75">
      <c r="B41">
        <f>'main calculations'!A46</f>
        <v>2046</v>
      </c>
      <c r="C41" s="2">
        <f>'main calculations'!AS46</f>
        <v>2.769486566978212</v>
      </c>
      <c r="D41" s="2">
        <f>'main calculations'!AU46</f>
        <v>8.0245752998519269</v>
      </c>
    </row>
    <row r="42" spans="2:4" x14ac:dyDescent="0.75">
      <c r="B42">
        <f>'main calculations'!A47</f>
        <v>2047</v>
      </c>
      <c r="C42" s="2">
        <f>'main calculations'!AS47</f>
        <v>2.6090982983490614</v>
      </c>
      <c r="D42" s="2">
        <f>'main calculations'!AU47</f>
        <v>8.2575690235208246</v>
      </c>
    </row>
    <row r="43" spans="2:4" x14ac:dyDescent="0.75">
      <c r="B43">
        <f>'main calculations'!A48</f>
        <v>2048</v>
      </c>
      <c r="C43" s="2">
        <f>'main calculations'!AS48</f>
        <v>2.4582107059897815</v>
      </c>
      <c r="D43" s="2">
        <f>'main calculations'!AU48</f>
        <v>8.4746253069464785</v>
      </c>
    </row>
    <row r="44" spans="2:4" x14ac:dyDescent="0.75">
      <c r="B44">
        <f>'main calculations'!A49</f>
        <v>2049</v>
      </c>
      <c r="C44" s="2">
        <f>'main calculations'!AS49</f>
        <v>2.3162673239687894</v>
      </c>
      <c r="D44" s="2">
        <f>'main calculations'!AU49</f>
        <v>8.6768292968664049</v>
      </c>
    </row>
    <row r="45" spans="2:4" x14ac:dyDescent="0.75">
      <c r="B45">
        <f>'main calculations'!A50</f>
        <v>2050</v>
      </c>
      <c r="C45" s="2">
        <f>'main calculations'!AS50</f>
        <v>2.1827410865197101</v>
      </c>
      <c r="D45" s="2">
        <f>'main calculations'!AU50</f>
        <v>8.8651962151299859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047B-3B0E-4357-B58D-5DF02F4A16B7}">
  <dimension ref="B2:D45"/>
  <sheetViews>
    <sheetView workbookViewId="0">
      <selection activeCell="D11" sqref="D11"/>
    </sheetView>
  </sheetViews>
  <sheetFormatPr defaultRowHeight="14.75" x14ac:dyDescent="0.75"/>
  <cols>
    <col min="3" max="4" width="15.1796875" customWidth="1"/>
  </cols>
  <sheetData>
    <row r="2" spans="2:4" s="30" customFormat="1" x14ac:dyDescent="0.75">
      <c r="C2" s="30" t="s">
        <v>134</v>
      </c>
    </row>
    <row r="4" spans="2:4" ht="44.25" x14ac:dyDescent="0.75">
      <c r="B4" t="s">
        <v>0</v>
      </c>
      <c r="C4" s="6" t="str">
        <f>'main calculations'!AX9</f>
        <v>Net income for landowners (million $)</v>
      </c>
      <c r="D4" s="6" t="str">
        <f>'main calculations'!BA9</f>
        <v>Potential income from solar PV leases (million $)</v>
      </c>
    </row>
    <row r="5" spans="2:4" x14ac:dyDescent="0.75">
      <c r="B5">
        <f>'main calculations'!A10</f>
        <v>2010</v>
      </c>
      <c r="C5" s="4">
        <f>'main calculations'!AX10</f>
        <v>9170.939528445746</v>
      </c>
    </row>
    <row r="6" spans="2:4" x14ac:dyDescent="0.75">
      <c r="B6">
        <f>'main calculations'!A11</f>
        <v>2011</v>
      </c>
      <c r="C6" s="4">
        <f>'main calculations'!AX11</f>
        <v>9070.5721720365655</v>
      </c>
    </row>
    <row r="7" spans="2:4" x14ac:dyDescent="0.75">
      <c r="B7">
        <f>'main calculations'!A12</f>
        <v>2012</v>
      </c>
      <c r="C7" s="4">
        <f>'main calculations'!AX12</f>
        <v>8843.1373123763169</v>
      </c>
    </row>
    <row r="8" spans="2:4" x14ac:dyDescent="0.75">
      <c r="B8">
        <f>'main calculations'!A13</f>
        <v>2013</v>
      </c>
      <c r="C8" s="4">
        <f>'main calculations'!AX13</f>
        <v>8746.7490992729618</v>
      </c>
    </row>
    <row r="9" spans="2:4" x14ac:dyDescent="0.75">
      <c r="B9">
        <f>'main calculations'!A14</f>
        <v>2014</v>
      </c>
      <c r="C9" s="4">
        <f>'main calculations'!AX14</f>
        <v>8729.2150596243791</v>
      </c>
    </row>
    <row r="10" spans="2:4" x14ac:dyDescent="0.75">
      <c r="B10">
        <f>'main calculations'!A15</f>
        <v>2015</v>
      </c>
      <c r="C10" s="4">
        <f>'main calculations'!AX15</f>
        <v>8635.4945399523367</v>
      </c>
    </row>
    <row r="11" spans="2:4" x14ac:dyDescent="0.75">
      <c r="B11">
        <f>'main calculations'!A16</f>
        <v>2016</v>
      </c>
      <c r="C11" s="4">
        <f>'main calculations'!AX16</f>
        <v>8618.1098407503468</v>
      </c>
    </row>
    <row r="12" spans="2:4" x14ac:dyDescent="0.75">
      <c r="B12">
        <f>'main calculations'!A17</f>
        <v>2017</v>
      </c>
      <c r="C12" s="4">
        <f>'main calculations'!AX17</f>
        <v>8475.8782671539866</v>
      </c>
    </row>
    <row r="13" spans="2:4" x14ac:dyDescent="0.75">
      <c r="B13">
        <f>'main calculations'!A18</f>
        <v>2018</v>
      </c>
      <c r="C13" s="4">
        <f>'main calculations'!AX18</f>
        <v>8401.4861664339551</v>
      </c>
    </row>
    <row r="14" spans="2:4" x14ac:dyDescent="0.75">
      <c r="B14">
        <f>'main calculations'!A19</f>
        <v>2019</v>
      </c>
      <c r="C14" s="4">
        <f>'main calculations'!AX19</f>
        <v>8303.2667046408424</v>
      </c>
    </row>
    <row r="15" spans="2:4" x14ac:dyDescent="0.75">
      <c r="B15">
        <f>'main calculations'!A20</f>
        <v>2020</v>
      </c>
      <c r="C15" s="4">
        <f>'main calculations'!AX20</f>
        <v>8169.9120679086373</v>
      </c>
    </row>
    <row r="16" spans="2:4" x14ac:dyDescent="0.75">
      <c r="B16">
        <f>'main calculations'!A21</f>
        <v>2021</v>
      </c>
      <c r="C16" s="4">
        <f>'main calculations'!AX21</f>
        <v>8032.7086640028674</v>
      </c>
    </row>
    <row r="17" spans="2:4" x14ac:dyDescent="0.75">
      <c r="B17">
        <f>'main calculations'!A22</f>
        <v>2022</v>
      </c>
      <c r="C17" s="4">
        <f>'main calculations'!AX22</f>
        <v>7895.6047806396709</v>
      </c>
    </row>
    <row r="18" spans="2:4" x14ac:dyDescent="0.75">
      <c r="B18">
        <f>'main calculations'!A23</f>
        <v>2023</v>
      </c>
      <c r="C18" s="4">
        <f>'main calculations'!AX23</f>
        <v>7753.4609200743143</v>
      </c>
    </row>
    <row r="19" spans="2:4" x14ac:dyDescent="0.75">
      <c r="B19">
        <f>'main calculations'!A24</f>
        <v>2024</v>
      </c>
      <c r="C19" s="4">
        <f>'main calculations'!AX24</f>
        <v>7603.9218107323495</v>
      </c>
    </row>
    <row r="20" spans="2:4" x14ac:dyDescent="0.75">
      <c r="B20">
        <f>'main calculations'!A25</f>
        <v>2025</v>
      </c>
      <c r="C20" s="4">
        <f>'main calculations'!AX25</f>
        <v>7444.0182392028719</v>
      </c>
      <c r="D20" s="4">
        <f>'main calculations'!BA25</f>
        <v>10.885610191955637</v>
      </c>
    </row>
    <row r="21" spans="2:4" x14ac:dyDescent="0.75">
      <c r="B21">
        <f>'main calculations'!A26</f>
        <v>2026</v>
      </c>
      <c r="C21" s="4">
        <f>'main calculations'!AX26</f>
        <v>7270.1797987780164</v>
      </c>
      <c r="D21" s="4">
        <f>'main calculations'!BA26</f>
        <v>43.542440767822548</v>
      </c>
    </row>
    <row r="22" spans="2:4" x14ac:dyDescent="0.75">
      <c r="B22">
        <f>'main calculations'!A27</f>
        <v>2027</v>
      </c>
      <c r="C22" s="4">
        <f>'main calculations'!AX27</f>
        <v>7078.4153051309286</v>
      </c>
      <c r="D22" s="4">
        <f>'main calculations'!BA27</f>
        <v>92.893597221117133</v>
      </c>
    </row>
    <row r="23" spans="2:4" x14ac:dyDescent="0.75">
      <c r="B23">
        <f>'main calculations'!A28</f>
        <v>2028</v>
      </c>
      <c r="C23" s="4">
        <f>'main calculations'!AX28</f>
        <v>6864.7674630512329</v>
      </c>
      <c r="D23" s="4">
        <f>'main calculations'!BA28</f>
        <v>147.87649775633298</v>
      </c>
    </row>
    <row r="24" spans="2:4" x14ac:dyDescent="0.75">
      <c r="B24">
        <f>'main calculations'!A29</f>
        <v>2029</v>
      </c>
      <c r="C24" s="4">
        <f>'main calculations'!AX29</f>
        <v>6626.1162946755121</v>
      </c>
      <c r="D24" s="4">
        <f>'main calculations'!BA29</f>
        <v>209.29407785302581</v>
      </c>
    </row>
    <row r="25" spans="2:4" x14ac:dyDescent="0.75">
      <c r="B25">
        <f>'main calculations'!A30</f>
        <v>2030</v>
      </c>
      <c r="C25" s="4">
        <f>'main calculations'!AX30</f>
        <v>6361.2615263988464</v>
      </c>
      <c r="D25" s="4">
        <f>'main calculations'!BA30</f>
        <v>277.45523145363836</v>
      </c>
    </row>
    <row r="26" spans="2:4" x14ac:dyDescent="0.75">
      <c r="B26">
        <f>'main calculations'!A31</f>
        <v>2031</v>
      </c>
      <c r="C26" s="4">
        <f>'main calculations'!AX31</f>
        <v>6071.9439130349983</v>
      </c>
      <c r="D26" s="4">
        <f>'main calculations'!BA31</f>
        <v>351.91197018698153</v>
      </c>
    </row>
    <row r="27" spans="2:4" x14ac:dyDescent="0.75">
      <c r="B27">
        <f>'main calculations'!A32</f>
        <v>2032</v>
      </c>
      <c r="C27" s="4">
        <f>'main calculations'!AX32</f>
        <v>5763.2231793300462</v>
      </c>
      <c r="D27" s="4">
        <f>'main calculations'!BA32</f>
        <v>431.3621590081089</v>
      </c>
    </row>
    <row r="28" spans="2:4" x14ac:dyDescent="0.75">
      <c r="B28">
        <f>'main calculations'!A33</f>
        <v>2033</v>
      </c>
      <c r="C28" s="4">
        <f>'main calculations'!AX33</f>
        <v>5442.7491789226169</v>
      </c>
      <c r="D28" s="4">
        <f>'main calculations'!BA33</f>
        <v>513.83708558355045</v>
      </c>
    </row>
    <row r="29" spans="2:4" x14ac:dyDescent="0.75">
      <c r="B29">
        <f>'main calculations'!A34</f>
        <v>2034</v>
      </c>
      <c r="C29" s="4">
        <f>'main calculations'!AX34</f>
        <v>5119.0935635586129</v>
      </c>
      <c r="D29" s="4">
        <f>'main calculations'!BA34</f>
        <v>597.13081012575731</v>
      </c>
    </row>
    <row r="30" spans="2:4" x14ac:dyDescent="0.75">
      <c r="B30">
        <f>'main calculations'!A35</f>
        <v>2035</v>
      </c>
      <c r="C30" s="4">
        <f>'main calculations'!AX35</f>
        <v>4799.9707699586716</v>
      </c>
      <c r="D30" s="4">
        <f>'main calculations'!BA35</f>
        <v>679.25799965515398</v>
      </c>
    </row>
    <row r="31" spans="2:4" x14ac:dyDescent="0.75">
      <c r="B31">
        <f>'main calculations'!A36</f>
        <v>2036</v>
      </c>
      <c r="C31" s="4">
        <f>'main calculations'!AX36</f>
        <v>4491.1624749332404</v>
      </c>
      <c r="D31" s="4">
        <f>'main calculations'!BA36</f>
        <v>758.73072263963991</v>
      </c>
    </row>
    <row r="32" spans="2:4" x14ac:dyDescent="0.75">
      <c r="B32">
        <f>'main calculations'!A37</f>
        <v>2037</v>
      </c>
      <c r="C32" s="4">
        <f>'main calculations'!AX37</f>
        <v>4196.3325374887263</v>
      </c>
      <c r="D32" s="4">
        <f>'main calculations'!BA37</f>
        <v>834.6060741878606</v>
      </c>
    </row>
    <row r="33" spans="2:4" x14ac:dyDescent="0.75">
      <c r="B33">
        <f>'main calculations'!A38</f>
        <v>2038</v>
      </c>
      <c r="C33" s="4">
        <f>'main calculations'!AX38</f>
        <v>3917.3979371924706</v>
      </c>
      <c r="D33" s="4">
        <f>'main calculations'!BA38</f>
        <v>906.3907139699852</v>
      </c>
    </row>
    <row r="34" spans="2:4" x14ac:dyDescent="0.75">
      <c r="B34">
        <f>'main calculations'!A39</f>
        <v>2039</v>
      </c>
      <c r="C34" s="4">
        <f>'main calculations'!AX39</f>
        <v>3655.0547262821724</v>
      </c>
      <c r="D34" s="4">
        <f>'main calculations'!BA39</f>
        <v>973.90551089542953</v>
      </c>
    </row>
    <row r="35" spans="2:4" x14ac:dyDescent="0.75">
      <c r="B35">
        <f>'main calculations'!A40</f>
        <v>2040</v>
      </c>
      <c r="C35" s="4">
        <f>'main calculations'!AX40</f>
        <v>3409.234682903375</v>
      </c>
      <c r="D35" s="4">
        <f>'main calculations'!BA40</f>
        <v>1037.1680220590906</v>
      </c>
    </row>
    <row r="36" spans="2:4" x14ac:dyDescent="0.75">
      <c r="B36">
        <f>'main calculations'!A41</f>
        <v>2041</v>
      </c>
      <c r="C36" s="4">
        <f>'main calculations'!AX41</f>
        <v>3179.4306725710585</v>
      </c>
      <c r="D36" s="4">
        <f>'main calculations'!BA41</f>
        <v>1096.3087600122603</v>
      </c>
    </row>
    <row r="37" spans="2:4" x14ac:dyDescent="0.75">
      <c r="B37">
        <f>'main calculations'!A42</f>
        <v>2042</v>
      </c>
      <c r="C37" s="4">
        <f>'main calculations'!AX42</f>
        <v>2964.9053904517818</v>
      </c>
      <c r="D37" s="4">
        <f>'main calculations'!BA42</f>
        <v>1151.5174723223683</v>
      </c>
    </row>
    <row r="38" spans="2:4" x14ac:dyDescent="0.75">
      <c r="B38">
        <f>'main calculations'!A43</f>
        <v>2043</v>
      </c>
      <c r="C38" s="4">
        <f>'main calculations'!AX43</f>
        <v>2764.8171650590975</v>
      </c>
      <c r="D38" s="4">
        <f>'main calculations'!BA43</f>
        <v>1203.0107656219561</v>
      </c>
    </row>
    <row r="39" spans="2:4" x14ac:dyDescent="0.75">
      <c r="B39">
        <f>'main calculations'!A44</f>
        <v>2044</v>
      </c>
      <c r="C39" s="4">
        <f>'main calculations'!AX44</f>
        <v>2578.2925898907856</v>
      </c>
      <c r="D39" s="4">
        <f>'main calculations'!BA44</f>
        <v>1251.0134136432127</v>
      </c>
    </row>
    <row r="40" spans="2:4" x14ac:dyDescent="0.75">
      <c r="B40">
        <f>'main calculations'!A45</f>
        <v>2045</v>
      </c>
      <c r="C40" s="4">
        <f>'main calculations'!AX45</f>
        <v>2404.466908834635</v>
      </c>
      <c r="D40" s="4">
        <f>'main calculations'!BA45</f>
        <v>1295.7479639150165</v>
      </c>
    </row>
    <row r="41" spans="2:4" x14ac:dyDescent="0.75">
      <c r="B41">
        <f>'main calculations'!A46</f>
        <v>2046</v>
      </c>
      <c r="C41" s="4">
        <f>'main calculations'!AX46</f>
        <v>2242.5054696669749</v>
      </c>
      <c r="D41" s="4">
        <f>'main calculations'!BA46</f>
        <v>1337.4292166419878</v>
      </c>
    </row>
    <row r="42" spans="2:4" x14ac:dyDescent="0.75">
      <c r="B42">
        <f>'main calculations'!A47</f>
        <v>2047</v>
      </c>
      <c r="C42" s="4">
        <f>'main calculations'!AX47</f>
        <v>2091.6142962433069</v>
      </c>
      <c r="D42" s="4">
        <f>'main calculations'!BA47</f>
        <v>1376.2615039201376</v>
      </c>
    </row>
    <row r="43" spans="2:4" x14ac:dyDescent="0.75">
      <c r="B43">
        <f>'main calculations'!A48</f>
        <v>2048</v>
      </c>
      <c r="C43" s="4">
        <f>'main calculations'!AX48</f>
        <v>1951.0445126914565</v>
      </c>
      <c r="D43" s="4">
        <f>'main calculations'!BA48</f>
        <v>1412.4375511577464</v>
      </c>
    </row>
    <row r="44" spans="2:4" x14ac:dyDescent="0.75">
      <c r="B44">
        <f>'main calculations'!A49</f>
        <v>2049</v>
      </c>
      <c r="C44" s="4">
        <f>'main calculations'!AX49</f>
        <v>1820.0933573147406</v>
      </c>
      <c r="D44" s="4">
        <f>'main calculations'!BA49</f>
        <v>1446.138216144401</v>
      </c>
    </row>
    <row r="45" spans="2:4" x14ac:dyDescent="0.75">
      <c r="B45">
        <f>'main calculations'!A50</f>
        <v>2050</v>
      </c>
      <c r="C45" s="4">
        <f>'main calculations'!AX50</f>
        <v>1698.1033531059466</v>
      </c>
      <c r="D45" s="4">
        <f>'main calculations'!BA50</f>
        <v>1477.5327025216643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22A7D-CB15-495D-A7EB-492094810166}">
  <dimension ref="B4:G45"/>
  <sheetViews>
    <sheetView tabSelected="1" workbookViewId="0">
      <selection activeCell="G35" sqref="G35"/>
    </sheetView>
  </sheetViews>
  <sheetFormatPr defaultRowHeight="14.75" x14ac:dyDescent="0.75"/>
  <cols>
    <col min="3" max="7" width="14.6796875" customWidth="1"/>
  </cols>
  <sheetData>
    <row r="4" spans="2:7" ht="44.25" x14ac:dyDescent="0.75">
      <c r="B4" t="s">
        <v>0</v>
      </c>
      <c r="C4" s="6" t="str">
        <f>'main calculations'!BD9</f>
        <v>Total ethanol jobs, agriculture</v>
      </c>
      <c r="D4" s="6" t="str">
        <f>'main calculations'!BE9</f>
        <v>Total other ethanol jobs</v>
      </c>
      <c r="E4" s="6" t="str">
        <f>'main calculations'!BF9</f>
        <v>Total solar PV jobs (corn land), C&amp;I</v>
      </c>
      <c r="F4" s="6" t="str">
        <f>'main calculations'!BG9</f>
        <v>Total solar PV jobs (corn land), O&amp;M</v>
      </c>
      <c r="G4" s="6" t="str">
        <f>'main calculations'!BH9</f>
        <v>Total jobs</v>
      </c>
    </row>
    <row r="5" spans="2:7" x14ac:dyDescent="0.75">
      <c r="B5">
        <f>'main calculations'!A10</f>
        <v>2010</v>
      </c>
      <c r="C5" s="4">
        <f>'main calculations'!BD10</f>
        <v>15678.260590909087</v>
      </c>
      <c r="D5" s="4">
        <f>'main calculations'!BE10</f>
        <v>18813.912709090906</v>
      </c>
      <c r="E5" s="4">
        <f>'main calculations'!BF10</f>
        <v>0</v>
      </c>
      <c r="F5" s="4">
        <f>'main calculations'!BG10</f>
        <v>0</v>
      </c>
      <c r="G5" s="4">
        <f>'main calculations'!BH10</f>
        <v>34492.173299999995</v>
      </c>
    </row>
    <row r="6" spans="2:7" x14ac:dyDescent="0.75">
      <c r="B6">
        <f>'main calculations'!A11</f>
        <v>2011</v>
      </c>
      <c r="C6" s="4">
        <f>'main calculations'!BD11</f>
        <v>15662.526545250012</v>
      </c>
      <c r="D6" s="4">
        <f>'main calculations'!BE11</f>
        <v>18795.031854300014</v>
      </c>
      <c r="E6" s="4">
        <f>'main calculations'!BF11</f>
        <v>0</v>
      </c>
      <c r="F6" s="4">
        <f>'main calculations'!BG11</f>
        <v>0</v>
      </c>
      <c r="G6" s="4">
        <f>'main calculations'!BH11</f>
        <v>34457.558399550027</v>
      </c>
    </row>
    <row r="7" spans="2:7" x14ac:dyDescent="0.75">
      <c r="B7">
        <f>'main calculations'!A12</f>
        <v>2012</v>
      </c>
      <c r="C7" s="4">
        <f>'main calculations'!BD12</f>
        <v>15423.274686600018</v>
      </c>
      <c r="D7" s="4">
        <f>'main calculations'!BE12</f>
        <v>18507.929623920023</v>
      </c>
      <c r="E7" s="4">
        <f>'main calculations'!BF12</f>
        <v>0</v>
      </c>
      <c r="F7" s="4">
        <f>'main calculations'!BG12</f>
        <v>0</v>
      </c>
      <c r="G7" s="4">
        <f>'main calculations'!BH12</f>
        <v>33931.204310520043</v>
      </c>
    </row>
    <row r="8" spans="2:7" x14ac:dyDescent="0.75">
      <c r="B8">
        <f>'main calculations'!A13</f>
        <v>2013</v>
      </c>
      <c r="C8" s="4">
        <f>'main calculations'!BD13</f>
        <v>15408.486482432216</v>
      </c>
      <c r="D8" s="4">
        <f>'main calculations'!BE13</f>
        <v>18490.183778918657</v>
      </c>
      <c r="E8" s="4">
        <f>'main calculations'!BF13</f>
        <v>0</v>
      </c>
      <c r="F8" s="4">
        <f>'main calculations'!BG13</f>
        <v>0</v>
      </c>
      <c r="G8" s="4">
        <f>'main calculations'!BH13</f>
        <v>33898.670261350875</v>
      </c>
    </row>
    <row r="9" spans="2:7" x14ac:dyDescent="0.75">
      <c r="B9">
        <f>'main calculations'!A14</f>
        <v>2014</v>
      </c>
      <c r="C9" s="4">
        <f>'main calculations'!BD14</f>
        <v>15532.15064027064</v>
      </c>
      <c r="D9" s="4">
        <f>'main calculations'!BE14</f>
        <v>18638.580768324769</v>
      </c>
      <c r="E9" s="4">
        <f>'main calculations'!BF14</f>
        <v>0</v>
      </c>
      <c r="F9" s="4">
        <f>'main calculations'!BG14</f>
        <v>0</v>
      </c>
      <c r="G9" s="4">
        <f>'main calculations'!BH14</f>
        <v>34170.731408595413</v>
      </c>
    </row>
    <row r="10" spans="2:7" x14ac:dyDescent="0.75">
      <c r="B10">
        <f>'main calculations'!A15</f>
        <v>2015</v>
      </c>
      <c r="C10" s="4">
        <f>'main calculations'!BD15</f>
        <v>15519.8208082738</v>
      </c>
      <c r="D10" s="4">
        <f>'main calculations'!BE15</f>
        <v>18623.784969928562</v>
      </c>
      <c r="E10" s="4">
        <f>'main calculations'!BF15</f>
        <v>0</v>
      </c>
      <c r="F10" s="4">
        <f>'main calculations'!BG15</f>
        <v>0</v>
      </c>
      <c r="G10" s="4">
        <f>'main calculations'!BH15</f>
        <v>34143.605778202364</v>
      </c>
    </row>
    <row r="11" spans="2:7" x14ac:dyDescent="0.75">
      <c r="B11">
        <f>'main calculations'!A16</f>
        <v>2016</v>
      </c>
      <c r="C11" s="4">
        <f>'main calculations'!BD16</f>
        <v>15644.24474655956</v>
      </c>
      <c r="D11" s="4">
        <f>'main calculations'!BE16</f>
        <v>18773.09369587147</v>
      </c>
      <c r="E11" s="4">
        <f>'main calculations'!BF16</f>
        <v>0</v>
      </c>
      <c r="F11" s="4">
        <f>'main calculations'!BG16</f>
        <v>0</v>
      </c>
      <c r="G11" s="4">
        <f>'main calculations'!BH16</f>
        <v>34417.338442431028</v>
      </c>
    </row>
    <row r="12" spans="2:7" x14ac:dyDescent="0.75">
      <c r="B12">
        <f>'main calculations'!A17</f>
        <v>2017</v>
      </c>
      <c r="C12" s="4">
        <f>'main calculations'!BD17</f>
        <v>15540.692785755311</v>
      </c>
      <c r="D12" s="4">
        <f>'main calculations'!BE17</f>
        <v>18648.831342906375</v>
      </c>
      <c r="E12" s="4">
        <f>'main calculations'!BF17</f>
        <v>0</v>
      </c>
      <c r="F12" s="4">
        <f>'main calculations'!BG17</f>
        <v>0</v>
      </c>
      <c r="G12" s="4">
        <f>'main calculations'!BH17</f>
        <v>34189.524128661687</v>
      </c>
    </row>
    <row r="13" spans="2:7" x14ac:dyDescent="0.75">
      <c r="B13">
        <f>'main calculations'!A18</f>
        <v>2018</v>
      </c>
      <c r="C13" s="4">
        <f>'main calculations'!BD18</f>
        <v>15559.114227745806</v>
      </c>
      <c r="D13" s="4">
        <f>'main calculations'!BE18</f>
        <v>18670.937073294968</v>
      </c>
      <c r="E13" s="4">
        <f>'main calculations'!BF18</f>
        <v>0</v>
      </c>
      <c r="F13" s="4">
        <f>'main calculations'!BG18</f>
        <v>0</v>
      </c>
      <c r="G13" s="4">
        <f>'main calculations'!BH18</f>
        <v>34230.051301040774</v>
      </c>
    </row>
    <row r="14" spans="2:7" x14ac:dyDescent="0.75">
      <c r="B14">
        <f>'main calculations'!A19</f>
        <v>2019</v>
      </c>
      <c r="C14" s="4">
        <f>'main calculations'!BD19</f>
        <v>15531.765625347145</v>
      </c>
      <c r="D14" s="4">
        <f>'main calculations'!BE19</f>
        <v>18638.118750416575</v>
      </c>
      <c r="E14" s="4">
        <f>'main calculations'!BF19</f>
        <v>0</v>
      </c>
      <c r="F14" s="4">
        <f>'main calculations'!BG19</f>
        <v>0</v>
      </c>
      <c r="G14" s="4">
        <f>'main calculations'!BH19</f>
        <v>34169.884375763722</v>
      </c>
    </row>
    <row r="15" spans="2:7" x14ac:dyDescent="0.75">
      <c r="B15">
        <f>'main calculations'!A20</f>
        <v>2020</v>
      </c>
      <c r="C15" s="4">
        <f>'main calculations'!BD20</f>
        <v>15435.912596370257</v>
      </c>
      <c r="D15" s="4">
        <f>'main calculations'!BE20</f>
        <v>18523.095115644312</v>
      </c>
      <c r="E15" s="4">
        <f>'main calculations'!BF20</f>
        <v>6.3782872218490061</v>
      </c>
      <c r="F15" s="4">
        <f>'main calculations'!BG20</f>
        <v>1.4882670184314351E-2</v>
      </c>
      <c r="G15" s="4">
        <f>'main calculations'!BH20</f>
        <v>33965.400881906608</v>
      </c>
    </row>
    <row r="16" spans="2:7" x14ac:dyDescent="0.75">
      <c r="B16">
        <f>'main calculations'!A21</f>
        <v>2021</v>
      </c>
      <c r="C16" s="4">
        <f>'main calculations'!BD21</f>
        <v>15329.219127782704</v>
      </c>
      <c r="D16" s="4">
        <f>'main calculations'!BE21</f>
        <v>18395.062953339246</v>
      </c>
      <c r="E16" s="4">
        <f>'main calculations'!BF21</f>
        <v>19.134861665547021</v>
      </c>
      <c r="F16" s="4">
        <f>'main calculations'!BG21</f>
        <v>5.9530680737257403E-2</v>
      </c>
      <c r="G16" s="4">
        <f>'main calculations'!BH21</f>
        <v>33743.476473468232</v>
      </c>
    </row>
    <row r="17" spans="2:7" x14ac:dyDescent="0.75">
      <c r="B17">
        <f>'main calculations'!A22</f>
        <v>2022</v>
      </c>
      <c r="C17" s="4">
        <f>'main calculations'!BD22</f>
        <v>15219.013621699281</v>
      </c>
      <c r="D17" s="4">
        <f>'main calculations'!BE22</f>
        <v>18262.816346039137</v>
      </c>
      <c r="E17" s="4">
        <f>'main calculations'!BF22</f>
        <v>76.539446662188084</v>
      </c>
      <c r="F17" s="4">
        <f>'main calculations'!BG22</f>
        <v>0.23812272294902961</v>
      </c>
      <c r="G17" s="4">
        <f>'main calculations'!BH22</f>
        <v>33558.607537123557</v>
      </c>
    </row>
    <row r="18" spans="2:7" x14ac:dyDescent="0.75">
      <c r="B18">
        <f>'main calculations'!A23</f>
        <v>2023</v>
      </c>
      <c r="C18" s="4">
        <f>'main calculations'!BD23</f>
        <v>15095.232087240936</v>
      </c>
      <c r="D18" s="4">
        <f>'main calculations'!BE23</f>
        <v>18114.278504689122</v>
      </c>
      <c r="E18" s="4">
        <f>'main calculations'!BF23</f>
        <v>306.15778664875234</v>
      </c>
      <c r="F18" s="4">
        <f>'main calculations'!BG23</f>
        <v>0.95249089179611846</v>
      </c>
      <c r="G18" s="4">
        <f>'main calculations'!BH23</f>
        <v>33516.6208694706</v>
      </c>
    </row>
    <row r="19" spans="2:7" x14ac:dyDescent="0.75">
      <c r="B19">
        <f>'main calculations'!A24</f>
        <v>2024</v>
      </c>
      <c r="C19" s="4">
        <f>'main calculations'!BD24</f>
        <v>14952.88257542374</v>
      </c>
      <c r="D19" s="4">
        <f>'main calculations'!BE24</f>
        <v>17943.459090508488</v>
      </c>
      <c r="E19" s="4">
        <f>'main calculations'!BF24</f>
        <v>1224.6311465950093</v>
      </c>
      <c r="F19" s="4">
        <f>'main calculations'!BG24</f>
        <v>3.8099635671844738</v>
      </c>
      <c r="G19" s="4">
        <f>'main calculations'!BH24</f>
        <v>34124.78277609442</v>
      </c>
    </row>
    <row r="20" spans="2:7" x14ac:dyDescent="0.75">
      <c r="B20">
        <f>'main calculations'!A25</f>
        <v>2025</v>
      </c>
      <c r="C20" s="4">
        <f>'main calculations'!BD25</f>
        <v>14785.560643052213</v>
      </c>
      <c r="D20" s="4">
        <f>'main calculations'!BE25</f>
        <v>17742.672771662656</v>
      </c>
      <c r="E20" s="4">
        <f>'main calculations'!BF25</f>
        <v>4898.5245863800374</v>
      </c>
      <c r="F20" s="4">
        <f>'main calculations'!BG25</f>
        <v>15.239854268737895</v>
      </c>
      <c r="G20" s="4">
        <f>'main calculations'!BH25</f>
        <v>37441.997855363639</v>
      </c>
    </row>
    <row r="21" spans="2:7" x14ac:dyDescent="0.75">
      <c r="B21">
        <f>'main calculations'!A26</f>
        <v>2026</v>
      </c>
      <c r="C21" s="4">
        <f>'main calculations'!BD26</f>
        <v>14585.40885929055</v>
      </c>
      <c r="D21" s="4">
        <f>'main calculations'!BE26</f>
        <v>17502.490631148659</v>
      </c>
      <c r="E21" s="4">
        <f>'main calculations'!BF26</f>
        <v>19594.098345520149</v>
      </c>
      <c r="F21" s="4">
        <f>'main calculations'!BG26</f>
        <v>60.959417074951581</v>
      </c>
      <c r="G21" s="4">
        <f>'main calculations'!BH26</f>
        <v>51742.957253034314</v>
      </c>
    </row>
    <row r="22" spans="2:7" x14ac:dyDescent="0.75">
      <c r="B22">
        <f>'main calculations'!A27</f>
        <v>2027</v>
      </c>
      <c r="C22" s="4">
        <f>'main calculations'!BD27</f>
        <v>14343.415665124201</v>
      </c>
      <c r="D22" s="4">
        <f>'main calculations'!BE27</f>
        <v>17212.09879814904</v>
      </c>
      <c r="E22" s="4">
        <f>'main calculations'!BF27</f>
        <v>29610.693871976753</v>
      </c>
      <c r="F22" s="4">
        <f>'main calculations'!BG27</f>
        <v>130.051036109564</v>
      </c>
      <c r="G22" s="4">
        <f>'main calculations'!BH27</f>
        <v>61296.259371359556</v>
      </c>
    </row>
    <row r="23" spans="2:7" x14ac:dyDescent="0.75">
      <c r="B23">
        <f>'main calculations'!A28</f>
        <v>2028</v>
      </c>
      <c r="C23" s="4">
        <f>'main calculations'!BD28</f>
        <v>14050.295645878179</v>
      </c>
      <c r="D23" s="4">
        <f>'main calculations'!BE28</f>
        <v>16860.354775053816</v>
      </c>
      <c r="E23" s="4">
        <f>'main calculations'!BF28</f>
        <v>32989.740321129517</v>
      </c>
      <c r="F23" s="4">
        <f>'main calculations'!BG28</f>
        <v>207.0270968588662</v>
      </c>
      <c r="G23" s="4">
        <f>'main calculations'!BH28</f>
        <v>64107.417838920381</v>
      </c>
    </row>
    <row r="24" spans="2:7" x14ac:dyDescent="0.75">
      <c r="B24">
        <f>'main calculations'!A29</f>
        <v>2029</v>
      </c>
      <c r="C24" s="4">
        <f>'main calculations'!BD29</f>
        <v>13698.145473044162</v>
      </c>
      <c r="D24" s="4">
        <f>'main calculations'!BE29</f>
        <v>16437.774567652992</v>
      </c>
      <c r="E24" s="4">
        <f>'main calculations'!BF29</f>
        <v>36850.548058015687</v>
      </c>
      <c r="F24" s="4">
        <f>'main calculations'!BG29</f>
        <v>293.01170899423619</v>
      </c>
      <c r="G24" s="4">
        <f>'main calculations'!BH29</f>
        <v>67279.479807707074</v>
      </c>
    </row>
    <row r="25" spans="2:7" x14ac:dyDescent="0.75">
      <c r="B25">
        <f>'main calculations'!A30</f>
        <v>2030</v>
      </c>
      <c r="C25" s="4">
        <f>'main calculations'!BD30</f>
        <v>13282.782427506321</v>
      </c>
      <c r="D25" s="4">
        <f>'main calculations'!BE30</f>
        <v>15939.338913007587</v>
      </c>
      <c r="E25" s="4">
        <f>'main calculations'!BF30</f>
        <v>40896.692160367536</v>
      </c>
      <c r="F25" s="4">
        <f>'main calculations'!BG30</f>
        <v>388.43732403509381</v>
      </c>
      <c r="G25" s="4">
        <f>'main calculations'!BH30</f>
        <v>70507.25082491654</v>
      </c>
    </row>
    <row r="26" spans="2:7" x14ac:dyDescent="0.75">
      <c r="B26">
        <f>'main calculations'!A31</f>
        <v>2031</v>
      </c>
      <c r="C26" s="4">
        <f>'main calculations'!BD31</f>
        <v>12806.092881347235</v>
      </c>
      <c r="D26" s="4">
        <f>'main calculations'!BE31</f>
        <v>15367.311457616681</v>
      </c>
      <c r="E26" s="4">
        <f>'main calculations'!BF31</f>
        <v>44674.043240005914</v>
      </c>
      <c r="F26" s="4">
        <f>'main calculations'!BG31</f>
        <v>492.6767582617743</v>
      </c>
      <c r="G26" s="4">
        <f>'main calculations'!BH31</f>
        <v>73340.124337231609</v>
      </c>
    </row>
    <row r="27" spans="2:7" x14ac:dyDescent="0.75">
      <c r="B27">
        <f>'main calculations'!A32</f>
        <v>2032</v>
      </c>
      <c r="C27" s="4">
        <f>'main calculations'!BD32</f>
        <v>12277.146039583442</v>
      </c>
      <c r="D27" s="4">
        <f>'main calculations'!BE32</f>
        <v>14732.575247500132</v>
      </c>
      <c r="E27" s="4">
        <f>'main calculations'!BF32</f>
        <v>47670.113292676418</v>
      </c>
      <c r="F27" s="4">
        <f>'main calculations'!BG32</f>
        <v>603.90702261135255</v>
      </c>
      <c r="G27" s="4">
        <f>'main calculations'!BH32</f>
        <v>75283.741602371345</v>
      </c>
    </row>
    <row r="28" spans="2:7" x14ac:dyDescent="0.75">
      <c r="B28">
        <f>'main calculations'!A33</f>
        <v>2033</v>
      </c>
      <c r="C28" s="4">
        <f>'main calculations'!BD33</f>
        <v>11710.984144397788</v>
      </c>
      <c r="D28" s="4">
        <f>'main calculations'!BE33</f>
        <v>14053.180973277344</v>
      </c>
      <c r="E28" s="4">
        <f>'main calculations'!BF33</f>
        <v>49484.955945264919</v>
      </c>
      <c r="F28" s="4">
        <f>'main calculations'!BG33</f>
        <v>719.37191981697072</v>
      </c>
      <c r="G28" s="4">
        <f>'main calculations'!BH33</f>
        <v>75968.492982757016</v>
      </c>
    </row>
    <row r="29" spans="2:7" x14ac:dyDescent="0.75">
      <c r="B29">
        <f>'main calculations'!A34</f>
        <v>2034</v>
      </c>
      <c r="C29" s="4">
        <f>'main calculations'!BD34</f>
        <v>11125.287103541439</v>
      </c>
      <c r="D29" s="4">
        <f>'main calculations'!BE34</f>
        <v>13350.344524249726</v>
      </c>
      <c r="E29" s="4">
        <f>'main calculations'!BF34</f>
        <v>49976.23472532411</v>
      </c>
      <c r="F29" s="4">
        <f>'main calculations'!BG34</f>
        <v>835.9831341760605</v>
      </c>
      <c r="G29" s="4">
        <f>'main calculations'!BH34</f>
        <v>75287.849487291329</v>
      </c>
    </row>
    <row r="30" spans="2:7" x14ac:dyDescent="0.75">
      <c r="B30">
        <f>'main calculations'!A35</f>
        <v>2035</v>
      </c>
      <c r="C30" s="4">
        <f>'main calculations'!BD35</f>
        <v>10536.584166107155</v>
      </c>
      <c r="D30" s="4">
        <f>'main calculations'!BE35</f>
        <v>12643.900999328587</v>
      </c>
      <c r="E30" s="4">
        <f>'main calculations'!BF35</f>
        <v>49276.313717638019</v>
      </c>
      <c r="F30" s="4">
        <f>'main calculations'!BG35</f>
        <v>950.96119951721562</v>
      </c>
      <c r="G30" s="4">
        <f>'main calculations'!BH35</f>
        <v>73407.760082590976</v>
      </c>
    </row>
    <row r="31" spans="2:7" x14ac:dyDescent="0.75">
      <c r="B31">
        <f>'main calculations'!A36</f>
        <v>2036</v>
      </c>
      <c r="C31" s="4">
        <f>'main calculations'!BD36</f>
        <v>9957.7931954244941</v>
      </c>
      <c r="D31" s="4">
        <f>'main calculations'!BE36</f>
        <v>11949.351834509394</v>
      </c>
      <c r="E31" s="4">
        <f>'main calculations'!BF36</f>
        <v>47683.633790691558</v>
      </c>
      <c r="F31" s="4">
        <f>'main calculations'!BG36</f>
        <v>1062.2230116954961</v>
      </c>
      <c r="G31" s="4">
        <f>'main calculations'!BH36</f>
        <v>70653.001832320937</v>
      </c>
    </row>
    <row r="32" spans="2:7" x14ac:dyDescent="0.75">
      <c r="B32">
        <f>'main calculations'!A37</f>
        <v>2037</v>
      </c>
      <c r="C32" s="4">
        <f>'main calculations'!BD37</f>
        <v>9397.6078894210168</v>
      </c>
      <c r="D32" s="4">
        <f>'main calculations'!BE37</f>
        <v>11277.12946730522</v>
      </c>
      <c r="E32" s="4">
        <f>'main calculations'!BF37</f>
        <v>45525.2109289324</v>
      </c>
      <c r="F32" s="4">
        <f>'main calculations'!BG37</f>
        <v>1168.4485038630048</v>
      </c>
      <c r="G32" s="4">
        <f>'main calculations'!BH37</f>
        <v>67368.396789521648</v>
      </c>
    </row>
    <row r="33" spans="2:7" x14ac:dyDescent="0.75">
      <c r="B33">
        <f>'main calculations'!A38</f>
        <v>2038</v>
      </c>
      <c r="C33" s="4">
        <f>'main calculations'!BD38</f>
        <v>8861.1115161985654</v>
      </c>
      <c r="D33" s="4">
        <f>'main calculations'!BE38</f>
        <v>10633.333819438278</v>
      </c>
      <c r="E33" s="4">
        <f>'main calculations'!BF38</f>
        <v>43070.783869274739</v>
      </c>
      <c r="F33" s="4">
        <f>'main calculations'!BG38</f>
        <v>1268.9469995579796</v>
      </c>
      <c r="G33" s="4">
        <f>'main calculations'!BH38</f>
        <v>63834.176204469557</v>
      </c>
    </row>
    <row r="34" spans="2:7" x14ac:dyDescent="0.75">
      <c r="B34">
        <f>'main calculations'!A39</f>
        <v>2039</v>
      </c>
      <c r="C34" s="4">
        <f>'main calculations'!BD39</f>
        <v>8350.7884859954065</v>
      </c>
      <c r="D34" s="4">
        <f>'main calculations'!BE39</f>
        <v>10020.946183194486</v>
      </c>
      <c r="E34" s="4">
        <f>'main calculations'!BF39</f>
        <v>40508.878155266626</v>
      </c>
      <c r="F34" s="4">
        <f>'main calculations'!BG39</f>
        <v>1363.4677152536015</v>
      </c>
      <c r="G34" s="4">
        <f>'main calculations'!BH39</f>
        <v>60244.080539710121</v>
      </c>
    </row>
    <row r="35" spans="2:7" x14ac:dyDescent="0.75">
      <c r="B35">
        <f>'main calculations'!A40</f>
        <v>2040</v>
      </c>
      <c r="C35" s="4">
        <f>'main calculations'!BD40</f>
        <v>7867.4426490575797</v>
      </c>
      <c r="D35" s="4">
        <f>'main calculations'!BE40</f>
        <v>9440.9311788690957</v>
      </c>
      <c r="E35" s="4">
        <f>'main calculations'!BF40</f>
        <v>37957.506698196667</v>
      </c>
      <c r="F35" s="4">
        <f>'main calculations'!BG40</f>
        <v>1452.0352308827269</v>
      </c>
      <c r="G35" s="4">
        <f>'main calculations'!BH40</f>
        <v>56717.915757006071</v>
      </c>
    </row>
    <row r="36" spans="2:7" x14ac:dyDescent="0.75">
      <c r="B36">
        <f>'main calculations'!A41</f>
        <v>2041</v>
      </c>
      <c r="C36" s="4">
        <f>'main calculations'!BD41</f>
        <v>7410.8689821082662</v>
      </c>
      <c r="D36" s="4">
        <f>'main calculations'!BE41</f>
        <v>8893.0427785299198</v>
      </c>
      <c r="E36" s="4">
        <f>'main calculations'!BF41</f>
        <v>35484.442771901791</v>
      </c>
      <c r="F36" s="4">
        <f>'main calculations'!BG41</f>
        <v>1534.8322640171648</v>
      </c>
      <c r="G36" s="4">
        <f>'main calculations'!BH41</f>
        <v>53323.186796557144</v>
      </c>
    </row>
    <row r="37" spans="2:7" x14ac:dyDescent="0.75">
      <c r="B37">
        <f>'main calculations'!A42</f>
        <v>2042</v>
      </c>
      <c r="C37" s="4">
        <f>'main calculations'!BD42</f>
        <v>6980.2938151502958</v>
      </c>
      <c r="D37" s="4">
        <f>'main calculations'!BE42</f>
        <v>8376.3525781803546</v>
      </c>
      <c r="E37" s="4">
        <f>'main calculations'!BF42</f>
        <v>33125.227386064893</v>
      </c>
      <c r="F37" s="4">
        <f>'main calculations'!BG42</f>
        <v>1612.124461251316</v>
      </c>
      <c r="G37" s="4">
        <f>'main calculations'!BH42</f>
        <v>50093.998240646863</v>
      </c>
    </row>
    <row r="38" spans="2:7" x14ac:dyDescent="0.75">
      <c r="B38">
        <f>'main calculations'!A43</f>
        <v>2043</v>
      </c>
      <c r="C38" s="4">
        <f>'main calculations'!BD43</f>
        <v>6574.6459205944066</v>
      </c>
      <c r="D38" s="4">
        <f>'main calculations'!BE43</f>
        <v>7889.5751047132871</v>
      </c>
      <c r="E38" s="4">
        <f>'main calculations'!BF43</f>
        <v>30895.975979752642</v>
      </c>
      <c r="F38" s="4">
        <f>'main calculations'!BG43</f>
        <v>1684.2150718707389</v>
      </c>
      <c r="G38" s="4">
        <f>'main calculations'!BH43</f>
        <v>47044.412076931076</v>
      </c>
    </row>
    <row r="39" spans="2:7" x14ac:dyDescent="0.75">
      <c r="B39">
        <f>'main calculations'!A44</f>
        <v>2044</v>
      </c>
      <c r="C39" s="4">
        <f>'main calculations'!BD44</f>
        <v>6192.7170906304209</v>
      </c>
      <c r="D39" s="4">
        <f>'main calculations'!BE44</f>
        <v>7431.2605087565053</v>
      </c>
      <c r="E39" s="4">
        <f>'main calculations'!BF44</f>
        <v>28801.588812753918</v>
      </c>
      <c r="F39" s="4">
        <f>'main calculations'!BG44</f>
        <v>1751.4187791004981</v>
      </c>
      <c r="G39" s="4">
        <f>'main calculations'!BH44</f>
        <v>44176.985191241343</v>
      </c>
    </row>
    <row r="40" spans="2:7" x14ac:dyDescent="0.75">
      <c r="B40">
        <f>'main calculations'!A45</f>
        <v>2045</v>
      </c>
      <c r="C40" s="4">
        <f>'main calculations'!BD45</f>
        <v>5833.2545990415465</v>
      </c>
      <c r="D40" s="4">
        <f>'main calculations'!BE45</f>
        <v>6999.905518849856</v>
      </c>
      <c r="E40" s="4">
        <f>'main calculations'!BF45</f>
        <v>26840.730163082237</v>
      </c>
      <c r="F40" s="4">
        <f>'main calculations'!BG45</f>
        <v>1814.0471494810233</v>
      </c>
      <c r="G40" s="4">
        <f>'main calculations'!BH45</f>
        <v>41487.937430454665</v>
      </c>
    </row>
    <row r="41" spans="2:7" x14ac:dyDescent="0.75">
      <c r="B41">
        <f>'main calculations'!A46</f>
        <v>2046</v>
      </c>
      <c r="C41" s="4">
        <f>'main calculations'!BD46</f>
        <v>5495.0130297186743</v>
      </c>
      <c r="D41" s="4">
        <f>'main calculations'!BE46</f>
        <v>6594.0156356624093</v>
      </c>
      <c r="E41" s="4">
        <f>'main calculations'!BF46</f>
        <v>25008.751636182722</v>
      </c>
      <c r="F41" s="4">
        <f>'main calculations'!BG46</f>
        <v>1872.4009032987829</v>
      </c>
      <c r="G41" s="4">
        <f>'main calculations'!BH46</f>
        <v>38970.181204862587</v>
      </c>
    </row>
    <row r="42" spans="2:7" x14ac:dyDescent="0.75">
      <c r="B42">
        <f>'main calculations'!A47</f>
        <v>2047</v>
      </c>
      <c r="C42" s="4">
        <f>'main calculations'!BD47</f>
        <v>5176.7823379941692</v>
      </c>
      <c r="D42" s="4">
        <f>'main calculations'!BE47</f>
        <v>6212.1388055930029</v>
      </c>
      <c r="E42" s="4">
        <f>'main calculations'!BF47</f>
        <v>23299.372366889947</v>
      </c>
      <c r="F42" s="4">
        <f>'main calculations'!BG47</f>
        <v>1926.7661054881928</v>
      </c>
      <c r="G42" s="4">
        <f>'main calculations'!BH47</f>
        <v>36615.059615965307</v>
      </c>
    </row>
    <row r="43" spans="2:7" x14ac:dyDescent="0.75">
      <c r="B43">
        <f>'main calculations'!A48</f>
        <v>2048</v>
      </c>
      <c r="C43" s="4">
        <f>'main calculations'!BD48</f>
        <v>4877.4021944241695</v>
      </c>
      <c r="D43" s="4">
        <f>'main calculations'!BE48</f>
        <v>5852.8826333090037</v>
      </c>
      <c r="E43" s="4">
        <f>'main calculations'!BF48</f>
        <v>21705.628342565218</v>
      </c>
      <c r="F43" s="4">
        <f>'main calculations'!BG48</f>
        <v>1977.4125716208453</v>
      </c>
      <c r="G43" s="4">
        <f>'main calculations'!BH48</f>
        <v>34413.325741919238</v>
      </c>
    </row>
    <row r="44" spans="2:7" x14ac:dyDescent="0.75">
      <c r="B44">
        <f>'main calculations'!A49</f>
        <v>2049</v>
      </c>
      <c r="C44" s="4">
        <f>'main calculations'!BD49</f>
        <v>4595.7684999380745</v>
      </c>
      <c r="D44" s="4">
        <f>'main calculations'!BE49</f>
        <v>5514.9221999256897</v>
      </c>
      <c r="E44" s="4">
        <f>'main calculations'!BF49</f>
        <v>20220.398991992817</v>
      </c>
      <c r="F44" s="4">
        <f>'main calculations'!BG49</f>
        <v>2024.5935026021616</v>
      </c>
      <c r="G44" s="4">
        <f>'main calculations'!BH49</f>
        <v>32355.683194458743</v>
      </c>
    </row>
    <row r="45" spans="2:7" x14ac:dyDescent="0.75">
      <c r="B45">
        <f>'main calculations'!A50</f>
        <v>2050</v>
      </c>
      <c r="C45" s="4">
        <f>'main calculations'!BD50</f>
        <v>4330.8354891264089</v>
      </c>
      <c r="D45" s="4">
        <f>'main calculations'!BE50</f>
        <v>5197.0025869516903</v>
      </c>
      <c r="E45" s="4">
        <f>'main calculations'!BF50</f>
        <v>18836.691826357965</v>
      </c>
      <c r="F45" s="4">
        <f>'main calculations'!BG50</f>
        <v>2068.54578353033</v>
      </c>
      <c r="G45" s="4">
        <f>'main calculations'!BH50</f>
        <v>30433.075685966396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07714-BF2D-4C8F-9693-1B09862E7588}">
  <dimension ref="A2:I49"/>
  <sheetViews>
    <sheetView workbookViewId="0">
      <selection activeCell="F24" sqref="F24"/>
    </sheetView>
  </sheetViews>
  <sheetFormatPr defaultRowHeight="14.75" x14ac:dyDescent="0.75"/>
  <cols>
    <col min="2" max="2" width="13.08984375" customWidth="1"/>
    <col min="3" max="3" width="14" customWidth="1"/>
    <col min="4" max="7" width="13.08984375" customWidth="1"/>
    <col min="8" max="8" width="11.6796875" customWidth="1"/>
  </cols>
  <sheetData>
    <row r="2" spans="1:9" ht="16.75" x14ac:dyDescent="0.95">
      <c r="H2" t="s">
        <v>108</v>
      </c>
      <c r="I2">
        <v>1.5</v>
      </c>
    </row>
    <row r="3" spans="1:9" ht="16.75" x14ac:dyDescent="0.95">
      <c r="H3" t="s">
        <v>109</v>
      </c>
      <c r="I3">
        <v>8</v>
      </c>
    </row>
    <row r="8" spans="1:9" ht="45.25" x14ac:dyDescent="0.95">
      <c r="A8" t="str">
        <f>'main calculations'!A9</f>
        <v>Year</v>
      </c>
      <c r="B8" s="6" t="str">
        <f>'main calculations'!S9</f>
        <v>Ethanol energy use (PJ)</v>
      </c>
      <c r="C8" s="6" t="s">
        <v>110</v>
      </c>
      <c r="D8" s="6" t="s">
        <v>13</v>
      </c>
      <c r="E8" s="6" t="s">
        <v>114</v>
      </c>
      <c r="F8" s="6" t="s">
        <v>112</v>
      </c>
      <c r="G8" s="6" t="s">
        <v>111</v>
      </c>
    </row>
    <row r="9" spans="1:9" x14ac:dyDescent="0.75">
      <c r="A9">
        <f>'main calculations'!A10</f>
        <v>2010</v>
      </c>
      <c r="B9" s="3">
        <f>'main calculations'!S10</f>
        <v>1306.5217159090907</v>
      </c>
      <c r="C9" s="3">
        <f>(1-1/$I$2)*B9</f>
        <v>435.50723863636364</v>
      </c>
      <c r="D9" s="2">
        <f>'main calculations'!T10</f>
        <v>1.4060000000000001E-2</v>
      </c>
    </row>
    <row r="10" spans="1:9" x14ac:dyDescent="0.75">
      <c r="A10">
        <f>'main calculations'!A11</f>
        <v>2011</v>
      </c>
      <c r="B10" s="3">
        <f>'main calculations'!S11</f>
        <v>1305.210545437501</v>
      </c>
      <c r="C10" s="3">
        <f t="shared" ref="C10:C49" si="0">(1-1/$I$2)*B10</f>
        <v>435.07018181250038</v>
      </c>
      <c r="D10" s="2">
        <f>'main calculations'!T11</f>
        <v>8.0594059405940596E-2</v>
      </c>
    </row>
    <row r="11" spans="1:9" x14ac:dyDescent="0.75">
      <c r="A11">
        <f>'main calculations'!A12</f>
        <v>2012</v>
      </c>
      <c r="B11" s="3">
        <f>'main calculations'!S12</f>
        <v>1285.2728905500016</v>
      </c>
      <c r="C11" s="3">
        <f t="shared" si="0"/>
        <v>428.42429685000059</v>
      </c>
      <c r="D11" s="3">
        <f>'main calculations'!T12</f>
        <v>0.2720321537104205</v>
      </c>
    </row>
    <row r="12" spans="1:9" x14ac:dyDescent="0.75">
      <c r="A12">
        <f>'main calculations'!A13</f>
        <v>2013</v>
      </c>
      <c r="B12" s="3">
        <f>'main calculations'!S13</f>
        <v>1284.0405402026845</v>
      </c>
      <c r="C12" s="3">
        <f t="shared" si="0"/>
        <v>428.01351340089491</v>
      </c>
      <c r="D12" s="3">
        <f>'main calculations'!T13</f>
        <v>0.61768357014115283</v>
      </c>
    </row>
    <row r="13" spans="1:9" x14ac:dyDescent="0.75">
      <c r="A13">
        <f>'main calculations'!A14</f>
        <v>2014</v>
      </c>
      <c r="B13" s="3">
        <f>'main calculations'!S14</f>
        <v>1294.3458866892202</v>
      </c>
      <c r="C13" s="3">
        <f t="shared" si="0"/>
        <v>431.44862889640677</v>
      </c>
      <c r="D13" s="3">
        <f>'main calculations'!T14</f>
        <v>1.031131909630062</v>
      </c>
    </row>
    <row r="14" spans="1:9" x14ac:dyDescent="0.75">
      <c r="A14">
        <f>'main calculations'!A15</f>
        <v>2015</v>
      </c>
      <c r="B14" s="3">
        <f>'main calculations'!S15</f>
        <v>1293.3184006894835</v>
      </c>
      <c r="C14" s="3">
        <f t="shared" si="0"/>
        <v>431.10613356316122</v>
      </c>
      <c r="D14" s="3">
        <f>'main calculations'!T15</f>
        <v>1.4081692176579883</v>
      </c>
    </row>
    <row r="15" spans="1:9" x14ac:dyDescent="0.75">
      <c r="A15">
        <f>'main calculations'!A16</f>
        <v>2016</v>
      </c>
      <c r="B15" s="3">
        <f>'main calculations'!S16</f>
        <v>1303.6870622132965</v>
      </c>
      <c r="C15" s="3">
        <f t="shared" si="0"/>
        <v>434.56235407109887</v>
      </c>
      <c r="D15" s="3">
        <f>'main calculations'!T16</f>
        <v>1.9867734011511218</v>
      </c>
    </row>
    <row r="16" spans="1:9" x14ac:dyDescent="0.75">
      <c r="A16">
        <f>'main calculations'!A17</f>
        <v>2017</v>
      </c>
      <c r="B16" s="3">
        <f>'main calculations'!S17</f>
        <v>1295.0577321462761</v>
      </c>
      <c r="C16" s="3">
        <f t="shared" si="0"/>
        <v>431.68591071542539</v>
      </c>
      <c r="D16" s="3">
        <f>'main calculations'!T17</f>
        <v>2.6228031698364642</v>
      </c>
    </row>
    <row r="17" spans="1:7" x14ac:dyDescent="0.75">
      <c r="A17">
        <f>'main calculations'!A18</f>
        <v>2018</v>
      </c>
      <c r="B17" s="3">
        <f>'main calculations'!S18</f>
        <v>1296.5928523121506</v>
      </c>
      <c r="C17" s="3">
        <f t="shared" si="0"/>
        <v>432.1976174373836</v>
      </c>
      <c r="D17" s="3">
        <f>'main calculations'!T18</f>
        <v>3.8269144739667027</v>
      </c>
    </row>
    <row r="18" spans="1:7" x14ac:dyDescent="0.75">
      <c r="A18">
        <f>'main calculations'!A19</f>
        <v>2019</v>
      </c>
      <c r="B18" s="3">
        <f>'main calculations'!S19</f>
        <v>1294.3138021122622</v>
      </c>
      <c r="C18" s="3">
        <f t="shared" si="0"/>
        <v>431.4379340374208</v>
      </c>
      <c r="D18" s="3">
        <f>'main calculations'!T19</f>
        <v>4.9054331570471339</v>
      </c>
    </row>
    <row r="19" spans="1:7" x14ac:dyDescent="0.75">
      <c r="A19">
        <f>'main calculations'!A20</f>
        <v>2020</v>
      </c>
      <c r="B19" s="3">
        <f>'main calculations'!S20</f>
        <v>1286.3260496975215</v>
      </c>
      <c r="C19" s="3">
        <f t="shared" si="0"/>
        <v>428.77534989917388</v>
      </c>
      <c r="D19" s="3">
        <f>'main calculations'!T20</f>
        <v>5.8282374143134259</v>
      </c>
    </row>
    <row r="20" spans="1:7" x14ac:dyDescent="0.75">
      <c r="A20">
        <f>'main calculations'!A21</f>
        <v>2021</v>
      </c>
      <c r="B20" s="3">
        <f>'main calculations'!S21</f>
        <v>1277.4349273152254</v>
      </c>
      <c r="C20" s="3">
        <f t="shared" si="0"/>
        <v>425.81164243840851</v>
      </c>
      <c r="D20" s="3">
        <f>'main calculations'!T21</f>
        <v>7.3624030156912514</v>
      </c>
    </row>
    <row r="21" spans="1:7" x14ac:dyDescent="0.75">
      <c r="A21">
        <f>'main calculations'!A22</f>
        <v>2022</v>
      </c>
      <c r="B21" s="3">
        <f>'main calculations'!S22</f>
        <v>1268.2511351416067</v>
      </c>
      <c r="C21" s="3">
        <f t="shared" si="0"/>
        <v>422.75037838053561</v>
      </c>
      <c r="D21" s="3">
        <f>'main calculations'!T22</f>
        <v>9.1094398848847309</v>
      </c>
    </row>
    <row r="22" spans="1:7" x14ac:dyDescent="0.75">
      <c r="A22">
        <f>'main calculations'!A23</f>
        <v>2023</v>
      </c>
      <c r="B22" s="3">
        <f>'main calculations'!S23</f>
        <v>1257.9360072700779</v>
      </c>
      <c r="C22" s="3">
        <f t="shared" si="0"/>
        <v>419.31200242335933</v>
      </c>
      <c r="D22" s="3">
        <f>'main calculations'!T23</f>
        <v>11.61670007839818</v>
      </c>
    </row>
    <row r="23" spans="1:7" x14ac:dyDescent="0.75">
      <c r="A23">
        <f>'main calculations'!A24</f>
        <v>2024</v>
      </c>
      <c r="B23" s="3">
        <f>'main calculations'!S24</f>
        <v>1246.0735479519783</v>
      </c>
      <c r="C23" s="3">
        <f t="shared" si="0"/>
        <v>415.35784931732616</v>
      </c>
      <c r="D23" s="3">
        <f>'main calculations'!T24</f>
        <v>15.155850812306515</v>
      </c>
    </row>
    <row r="24" spans="1:7" x14ac:dyDescent="0.75">
      <c r="A24">
        <f>'main calculations'!A25</f>
        <v>2025</v>
      </c>
      <c r="B24" s="3">
        <f>'main calculations'!S25</f>
        <v>1232.1300535876844</v>
      </c>
      <c r="C24" s="3">
        <f t="shared" si="0"/>
        <v>410.71001786256153</v>
      </c>
      <c r="D24" s="3">
        <f>'main calculations'!T25</f>
        <v>20.075511746866376</v>
      </c>
      <c r="E24" s="3">
        <f>'main calculations'!AH25</f>
        <v>2.1771220383911274</v>
      </c>
      <c r="F24" s="3">
        <f>D24*3.6</f>
        <v>72.271842288718958</v>
      </c>
      <c r="G24" s="2">
        <f>IF(E24&gt;D24,D24*(1-1/$I$3),E24*(1-1/$I$3))</f>
        <v>1.9049817835922365</v>
      </c>
    </row>
    <row r="25" spans="1:7" x14ac:dyDescent="0.75">
      <c r="A25">
        <f>'main calculations'!A26</f>
        <v>2026</v>
      </c>
      <c r="B25" s="3">
        <f>'main calculations'!S26</f>
        <v>1215.4507382742124</v>
      </c>
      <c r="C25" s="3">
        <f t="shared" si="0"/>
        <v>405.1502460914042</v>
      </c>
      <c r="D25" s="3">
        <f>'main calculations'!T26</f>
        <v>26.80349660213194</v>
      </c>
      <c r="E25" s="3">
        <f>'main calculations'!AH26</f>
        <v>8.7084881535645096</v>
      </c>
      <c r="F25" s="3">
        <f t="shared" ref="F25:F49" si="1">D25*3.6</f>
        <v>96.492587767674991</v>
      </c>
      <c r="G25" s="2">
        <f t="shared" ref="G25:G49" si="2">IF(E25&gt;D25,D25*(1-1/$I$3),E25*(1-1/$I$3))</f>
        <v>7.6199271343689459</v>
      </c>
    </row>
    <row r="26" spans="1:7" x14ac:dyDescent="0.75">
      <c r="A26">
        <f>'main calculations'!A27</f>
        <v>2027</v>
      </c>
      <c r="B26" s="3">
        <f>'main calculations'!S27</f>
        <v>1195.2846387603499</v>
      </c>
      <c r="C26" s="3">
        <f t="shared" si="0"/>
        <v>398.42821292011666</v>
      </c>
      <c r="D26" s="3">
        <f>'main calculations'!T27</f>
        <v>35.830590756976072</v>
      </c>
      <c r="E26" s="3">
        <f>'main calculations'!AH27</f>
        <v>18.578719444223427</v>
      </c>
      <c r="F26" s="3">
        <f t="shared" si="1"/>
        <v>128.99012672511387</v>
      </c>
      <c r="G26" s="2">
        <f t="shared" si="2"/>
        <v>16.256379513695499</v>
      </c>
    </row>
    <row r="27" spans="1:7" x14ac:dyDescent="0.75">
      <c r="A27">
        <f>'main calculations'!A28</f>
        <v>2028</v>
      </c>
      <c r="B27" s="3">
        <f>'main calculations'!S28</f>
        <v>1170.8579704898484</v>
      </c>
      <c r="C27" s="3">
        <f t="shared" si="0"/>
        <v>390.28599016328286</v>
      </c>
      <c r="D27" s="3">
        <f>'main calculations'!T28</f>
        <v>47.662679267034775</v>
      </c>
      <c r="E27" s="3">
        <f>'main calculations'!AH28</f>
        <v>29.575299551266596</v>
      </c>
      <c r="F27" s="3">
        <f t="shared" si="1"/>
        <v>171.58564536132519</v>
      </c>
      <c r="G27" s="2">
        <f t="shared" si="2"/>
        <v>25.878387107358272</v>
      </c>
    </row>
    <row r="28" spans="1:7" x14ac:dyDescent="0.75">
      <c r="A28">
        <f>'main calculations'!A29</f>
        <v>2029</v>
      </c>
      <c r="B28" s="3">
        <f>'main calculations'!S29</f>
        <v>1141.5121227536802</v>
      </c>
      <c r="C28" s="3">
        <f t="shared" si="0"/>
        <v>380.50404091789341</v>
      </c>
      <c r="D28" s="3">
        <f>'main calculations'!T29</f>
        <v>62.730630887402796</v>
      </c>
      <c r="E28" s="3">
        <f>'main calculations'!AH29</f>
        <v>41.858815570605159</v>
      </c>
      <c r="F28" s="3">
        <f t="shared" si="1"/>
        <v>225.83027119465007</v>
      </c>
      <c r="G28" s="2">
        <f t="shared" si="2"/>
        <v>36.626463624279516</v>
      </c>
    </row>
    <row r="29" spans="1:7" x14ac:dyDescent="0.75">
      <c r="A29">
        <f>'main calculations'!A30</f>
        <v>2030</v>
      </c>
      <c r="B29" s="3">
        <f>'main calculations'!S30</f>
        <v>1106.8985356255268</v>
      </c>
      <c r="C29" s="3">
        <f t="shared" si="0"/>
        <v>368.96617854184234</v>
      </c>
      <c r="D29" s="3">
        <f>'main calculations'!T30</f>
        <v>81.262975287398419</v>
      </c>
      <c r="E29" s="3">
        <f>'main calculations'!AH30</f>
        <v>55.491046290727674</v>
      </c>
      <c r="F29" s="3">
        <f t="shared" si="1"/>
        <v>292.54671103463431</v>
      </c>
      <c r="G29" s="2">
        <f t="shared" si="2"/>
        <v>48.554665504386712</v>
      </c>
    </row>
    <row r="30" spans="1:7" x14ac:dyDescent="0.75">
      <c r="A30">
        <f>'main calculations'!A31</f>
        <v>2031</v>
      </c>
      <c r="B30" s="3">
        <f>'main calculations'!S31</f>
        <v>1067.1744067789361</v>
      </c>
      <c r="C30" s="3">
        <f t="shared" si="0"/>
        <v>355.7248022596454</v>
      </c>
      <c r="D30" s="3">
        <f>'main calculations'!T31</f>
        <v>103.15796177816863</v>
      </c>
      <c r="E30" s="3">
        <f>'main calculations'!AH31</f>
        <v>70.38239403739631</v>
      </c>
      <c r="F30" s="3">
        <f t="shared" si="1"/>
        <v>371.36866240140705</v>
      </c>
      <c r="G30" s="2">
        <f t="shared" si="2"/>
        <v>61.584594782721773</v>
      </c>
    </row>
    <row r="31" spans="1:7" x14ac:dyDescent="0.75">
      <c r="A31">
        <f>'main calculations'!A32</f>
        <v>2032</v>
      </c>
      <c r="B31" s="3">
        <f>'main calculations'!S32</f>
        <v>1023.0955032986202</v>
      </c>
      <c r="C31" s="3">
        <f t="shared" si="0"/>
        <v>341.03183443287344</v>
      </c>
      <c r="D31" s="3">
        <f>'main calculations'!T32</f>
        <v>127.92276132720936</v>
      </c>
      <c r="E31" s="3">
        <f>'main calculations'!AH32</f>
        <v>86.272431801621778</v>
      </c>
      <c r="F31" s="3">
        <f t="shared" si="1"/>
        <v>460.52194077795372</v>
      </c>
      <c r="G31" s="2">
        <f t="shared" si="2"/>
        <v>75.488377826419054</v>
      </c>
    </row>
    <row r="32" spans="1:7" x14ac:dyDescent="0.75">
      <c r="A32">
        <f>'main calculations'!A33</f>
        <v>2033</v>
      </c>
      <c r="B32" s="3">
        <f>'main calculations'!S33</f>
        <v>975.91534536648226</v>
      </c>
      <c r="C32" s="3">
        <f t="shared" si="0"/>
        <v>325.30511512216077</v>
      </c>
      <c r="D32" s="3">
        <f>'main calculations'!T33</f>
        <v>154.73913963947368</v>
      </c>
      <c r="E32" s="3">
        <f>'main calculations'!AH33</f>
        <v>102.76741711671009</v>
      </c>
      <c r="F32" s="3">
        <f t="shared" si="1"/>
        <v>557.0609027021053</v>
      </c>
      <c r="G32" s="2">
        <f t="shared" si="2"/>
        <v>89.921489977121325</v>
      </c>
    </row>
    <row r="33" spans="1:7" x14ac:dyDescent="0.75">
      <c r="A33">
        <f>'main calculations'!A34</f>
        <v>2034</v>
      </c>
      <c r="B33" s="3">
        <f>'main calculations'!S34</f>
        <v>927.10725862845322</v>
      </c>
      <c r="C33" s="3">
        <f t="shared" si="0"/>
        <v>309.03575287615109</v>
      </c>
      <c r="D33" s="3">
        <f>'main calculations'!T34</f>
        <v>182.64491054216916</v>
      </c>
      <c r="E33" s="3">
        <f>'main calculations'!AH34</f>
        <v>119.42616202515147</v>
      </c>
      <c r="F33" s="3">
        <f t="shared" si="1"/>
        <v>657.52167795180901</v>
      </c>
      <c r="G33" s="2">
        <f t="shared" si="2"/>
        <v>104.49789177200753</v>
      </c>
    </row>
    <row r="34" spans="1:7" x14ac:dyDescent="0.75">
      <c r="A34">
        <f>'main calculations'!A35</f>
        <v>2035</v>
      </c>
      <c r="B34" s="3">
        <f>'main calculations'!S35</f>
        <v>878.04868050892969</v>
      </c>
      <c r="C34" s="3">
        <f t="shared" si="0"/>
        <v>292.68289350297658</v>
      </c>
      <c r="D34" s="3">
        <f>'main calculations'!T35</f>
        <v>210.74016472758896</v>
      </c>
      <c r="E34" s="3">
        <f>'main calculations'!AH35</f>
        <v>135.85159993103079</v>
      </c>
      <c r="F34" s="3">
        <f t="shared" si="1"/>
        <v>758.66459301932025</v>
      </c>
      <c r="G34" s="2">
        <f t="shared" si="2"/>
        <v>118.87014993965194</v>
      </c>
    </row>
    <row r="35" spans="1:7" x14ac:dyDescent="0.75">
      <c r="A35">
        <f>'main calculations'!A36</f>
        <v>2036</v>
      </c>
      <c r="B35" s="3">
        <f>'main calculations'!S36</f>
        <v>829.81609961870788</v>
      </c>
      <c r="C35" s="3">
        <f t="shared" si="0"/>
        <v>276.60536653956933</v>
      </c>
      <c r="D35" s="3">
        <f>'main calculations'!T36</f>
        <v>238.32131812432215</v>
      </c>
      <c r="E35" s="3">
        <f>'main calculations'!AH36</f>
        <v>151.74614452792798</v>
      </c>
      <c r="F35" s="3">
        <f t="shared" si="1"/>
        <v>857.95674524755975</v>
      </c>
      <c r="G35" s="2">
        <f t="shared" si="2"/>
        <v>132.77787646193698</v>
      </c>
    </row>
    <row r="36" spans="1:7" x14ac:dyDescent="0.75">
      <c r="A36">
        <f>'main calculations'!A37</f>
        <v>2037</v>
      </c>
      <c r="B36" s="3">
        <f>'main calculations'!S37</f>
        <v>783.13399078508473</v>
      </c>
      <c r="C36" s="3">
        <f t="shared" si="0"/>
        <v>261.04466359502828</v>
      </c>
      <c r="D36" s="3">
        <f>'main calculations'!T37</f>
        <v>264.91458695256443</v>
      </c>
      <c r="E36" s="3">
        <f>'main calculations'!AH37</f>
        <v>166.92121483757211</v>
      </c>
      <c r="F36" s="3">
        <f t="shared" si="1"/>
        <v>953.69251302923203</v>
      </c>
      <c r="G36" s="2">
        <f t="shared" si="2"/>
        <v>146.0560629828756</v>
      </c>
    </row>
    <row r="37" spans="1:7" x14ac:dyDescent="0.75">
      <c r="A37">
        <f>'main calculations'!A38</f>
        <v>2038</v>
      </c>
      <c r="B37" s="3">
        <f>'main calculations'!S38</f>
        <v>738.4259596832137</v>
      </c>
      <c r="C37" s="3">
        <f t="shared" si="0"/>
        <v>246.14198656107126</v>
      </c>
      <c r="D37" s="3">
        <f>'main calculations'!T38</f>
        <v>290.24267049695999</v>
      </c>
      <c r="E37" s="3">
        <f>'main calculations'!AH38</f>
        <v>181.27814279399703</v>
      </c>
      <c r="F37" s="3">
        <f t="shared" si="1"/>
        <v>1044.873613789056</v>
      </c>
      <c r="G37" s="2">
        <f t="shared" si="2"/>
        <v>158.61837494474742</v>
      </c>
    </row>
    <row r="38" spans="1:7" x14ac:dyDescent="0.75">
      <c r="A38">
        <f>'main calculations'!A39</f>
        <v>2039</v>
      </c>
      <c r="B38" s="3">
        <f>'main calculations'!S39</f>
        <v>695.89904049961717</v>
      </c>
      <c r="C38" s="3">
        <f t="shared" si="0"/>
        <v>231.96634683320576</v>
      </c>
      <c r="D38" s="3">
        <f>'main calculations'!T39</f>
        <v>314.16974022160036</v>
      </c>
      <c r="E38" s="3">
        <f>'main calculations'!AH39</f>
        <v>194.78110217908591</v>
      </c>
      <c r="F38" s="3">
        <f t="shared" si="1"/>
        <v>1131.0110647977613</v>
      </c>
      <c r="G38" s="2">
        <f t="shared" si="2"/>
        <v>170.43346440670018</v>
      </c>
    </row>
    <row r="39" spans="1:7" x14ac:dyDescent="0.75">
      <c r="A39">
        <f>'main calculations'!A40</f>
        <v>2040</v>
      </c>
      <c r="B39" s="3">
        <f>'main calculations'!S40</f>
        <v>655.62022075479831</v>
      </c>
      <c r="C39" s="3">
        <f t="shared" si="0"/>
        <v>218.5400735849328</v>
      </c>
      <c r="D39" s="3">
        <f>'main calculations'!T40</f>
        <v>336.65147781025189</v>
      </c>
      <c r="E39" s="3">
        <f>'main calculations'!AH40</f>
        <v>207.43360441181812</v>
      </c>
      <c r="F39" s="3">
        <f t="shared" si="1"/>
        <v>1211.9453201169069</v>
      </c>
      <c r="G39" s="2">
        <f t="shared" si="2"/>
        <v>181.50440386034086</v>
      </c>
    </row>
    <row r="40" spans="1:7" x14ac:dyDescent="0.75">
      <c r="A40">
        <f>'main calculations'!A41</f>
        <v>2041</v>
      </c>
      <c r="B40" s="3">
        <f>'main calculations'!S41</f>
        <v>617.57241517568889</v>
      </c>
      <c r="C40" s="3">
        <f t="shared" si="0"/>
        <v>205.85747172522966</v>
      </c>
      <c r="D40" s="3">
        <f>'main calculations'!T41</f>
        <v>357.69852097478736</v>
      </c>
      <c r="E40" s="3">
        <f>'main calculations'!AH41</f>
        <v>219.26175200245208</v>
      </c>
      <c r="F40" s="3">
        <f t="shared" si="1"/>
        <v>1287.7146755092344</v>
      </c>
      <c r="G40" s="2">
        <f t="shared" si="2"/>
        <v>191.85403300214557</v>
      </c>
    </row>
    <row r="41" spans="1:7" x14ac:dyDescent="0.75">
      <c r="A41">
        <f>'main calculations'!A42</f>
        <v>2042</v>
      </c>
      <c r="B41" s="3">
        <f>'main calculations'!S42</f>
        <v>581.69115126252461</v>
      </c>
      <c r="C41" s="3">
        <f t="shared" si="0"/>
        <v>193.89705042084157</v>
      </c>
      <c r="D41" s="3">
        <f>'main calculations'!T42</f>
        <v>377.35250073332736</v>
      </c>
      <c r="E41" s="3">
        <f>'main calculations'!AH42</f>
        <v>230.30349446447369</v>
      </c>
      <c r="F41" s="3">
        <f t="shared" si="1"/>
        <v>1358.4690026399785</v>
      </c>
      <c r="G41" s="2">
        <f t="shared" si="2"/>
        <v>201.51555765641447</v>
      </c>
    </row>
    <row r="42" spans="1:7" x14ac:dyDescent="0.75">
      <c r="A42">
        <f>'main calculations'!A43</f>
        <v>2043</v>
      </c>
      <c r="B42" s="3">
        <f>'main calculations'!S43</f>
        <v>547.8871600495338</v>
      </c>
      <c r="C42" s="3">
        <f t="shared" si="0"/>
        <v>182.62905334984461</v>
      </c>
      <c r="D42" s="3">
        <f>'main calculations'!T43</f>
        <v>395.67128239768789</v>
      </c>
      <c r="E42" s="3">
        <f>'main calculations'!AH43</f>
        <v>240.60215312439124</v>
      </c>
      <c r="F42" s="3">
        <f t="shared" si="1"/>
        <v>1424.4166166316763</v>
      </c>
      <c r="G42" s="2">
        <f t="shared" si="2"/>
        <v>210.52688398384234</v>
      </c>
    </row>
    <row r="43" spans="1:7" x14ac:dyDescent="0.75">
      <c r="A43">
        <f>'main calculations'!A44</f>
        <v>2044</v>
      </c>
      <c r="B43" s="3">
        <f>'main calculations'!S44</f>
        <v>516.05975755253507</v>
      </c>
      <c r="C43" s="3">
        <f t="shared" si="0"/>
        <v>172.01991918417838</v>
      </c>
      <c r="D43" s="3">
        <f>'main calculations'!T44</f>
        <v>412.7202212540256</v>
      </c>
      <c r="E43" s="3">
        <f>'main calculations'!AH44</f>
        <v>250.20268272864254</v>
      </c>
      <c r="F43" s="3">
        <f t="shared" si="1"/>
        <v>1485.7927965144922</v>
      </c>
      <c r="G43" s="2">
        <f t="shared" si="2"/>
        <v>218.92734738756224</v>
      </c>
    </row>
    <row r="44" spans="1:7" x14ac:dyDescent="0.75">
      <c r="A44">
        <f>'main calculations'!A45</f>
        <v>2045</v>
      </c>
      <c r="B44" s="3">
        <f>'main calculations'!S45</f>
        <v>486.10454992012887</v>
      </c>
      <c r="C44" s="3">
        <f t="shared" si="0"/>
        <v>162.03484997337631</v>
      </c>
      <c r="D44" s="3">
        <f>'main calculations'!T45</f>
        <v>428.56712607196204</v>
      </c>
      <c r="E44" s="3">
        <f>'main calculations'!AH45</f>
        <v>259.1495927830033</v>
      </c>
      <c r="F44" s="3">
        <f t="shared" si="1"/>
        <v>1542.8416538590634</v>
      </c>
      <c r="G44" s="2">
        <f t="shared" si="2"/>
        <v>226.75589368512789</v>
      </c>
    </row>
    <row r="45" spans="1:7" x14ac:dyDescent="0.75">
      <c r="A45">
        <f>'main calculations'!A46</f>
        <v>2046</v>
      </c>
      <c r="B45" s="3">
        <f>'main calculations'!S46</f>
        <v>457.91775247655619</v>
      </c>
      <c r="C45" s="3">
        <f t="shared" si="0"/>
        <v>152.63925082551876</v>
      </c>
      <c r="D45" s="3">
        <f>'main calculations'!T46</f>
        <v>443.27943479219044</v>
      </c>
      <c r="E45" s="3">
        <f>'main calculations'!AH46</f>
        <v>267.48584332839755</v>
      </c>
      <c r="F45" s="3">
        <f t="shared" si="1"/>
        <v>1595.8059652518857</v>
      </c>
      <c r="G45" s="2">
        <f t="shared" si="2"/>
        <v>234.05011291234786</v>
      </c>
    </row>
    <row r="46" spans="1:7" x14ac:dyDescent="0.75">
      <c r="A46">
        <f>'main calculations'!A47</f>
        <v>2047</v>
      </c>
      <c r="B46" s="3">
        <f>'main calculations'!S47</f>
        <v>431.39852816618077</v>
      </c>
      <c r="C46" s="3">
        <f t="shared" si="0"/>
        <v>143.79950938872693</v>
      </c>
      <c r="D46" s="3">
        <f>'main calculations'!T47</f>
        <v>456.92268436167132</v>
      </c>
      <c r="E46" s="3">
        <f>'main calculations'!AH47</f>
        <v>275.25230078402751</v>
      </c>
      <c r="F46" s="3">
        <f t="shared" si="1"/>
        <v>1644.9216637020168</v>
      </c>
      <c r="G46" s="2">
        <f t="shared" si="2"/>
        <v>240.84576318602407</v>
      </c>
    </row>
    <row r="47" spans="1:7" x14ac:dyDescent="0.75">
      <c r="A47">
        <f>'main calculations'!A48</f>
        <v>2048</v>
      </c>
      <c r="B47" s="3">
        <f>'main calculations'!S48</f>
        <v>406.45018286868083</v>
      </c>
      <c r="C47" s="3">
        <f t="shared" si="0"/>
        <v>135.48339428956029</v>
      </c>
      <c r="D47" s="3">
        <f>'main calculations'!T48</f>
        <v>469.55972763877065</v>
      </c>
      <c r="E47" s="3">
        <f>'main calculations'!AH48</f>
        <v>282.48751023154927</v>
      </c>
      <c r="F47" s="3">
        <f t="shared" si="1"/>
        <v>1690.4150194995743</v>
      </c>
      <c r="G47" s="2">
        <f t="shared" si="2"/>
        <v>247.1765714526056</v>
      </c>
    </row>
    <row r="48" spans="1:7" x14ac:dyDescent="0.75">
      <c r="A48">
        <f>'main calculations'!A49</f>
        <v>2049</v>
      </c>
      <c r="B48" s="3">
        <f>'main calculations'!S49</f>
        <v>382.98070832817291</v>
      </c>
      <c r="C48" s="3">
        <f t="shared" si="0"/>
        <v>127.66023610939098</v>
      </c>
      <c r="D48" s="3">
        <f>'main calculations'!T49</f>
        <v>481.25037674967791</v>
      </c>
      <c r="E48" s="3">
        <f>'main calculations'!AH49</f>
        <v>289.2276432288802</v>
      </c>
      <c r="F48" s="3">
        <f t="shared" si="1"/>
        <v>1732.5013562988406</v>
      </c>
      <c r="G48" s="2">
        <f t="shared" si="2"/>
        <v>253.07418782527017</v>
      </c>
    </row>
    <row r="49" spans="1:7" x14ac:dyDescent="0.75">
      <c r="A49">
        <f>'main calculations'!A50</f>
        <v>2050</v>
      </c>
      <c r="B49" s="3">
        <f>'main calculations'!S50</f>
        <v>360.9029574272007</v>
      </c>
      <c r="C49" s="3">
        <f t="shared" si="0"/>
        <v>120.30098580906692</v>
      </c>
      <c r="D49" s="3">
        <f>'main calculations'!T50</f>
        <v>492.05128684851769</v>
      </c>
      <c r="E49" s="3">
        <f>'main calculations'!AH50</f>
        <v>295.50654050433286</v>
      </c>
      <c r="F49" s="3">
        <f t="shared" si="1"/>
        <v>1771.3846326546636</v>
      </c>
      <c r="G49" s="2">
        <f t="shared" si="2"/>
        <v>258.56822294129125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 calculations</vt:lpstr>
      <vt:lpstr>ethanol</vt:lpstr>
      <vt:lpstr>photovoltaics</vt:lpstr>
      <vt:lpstr>irrigation</vt:lpstr>
      <vt:lpstr>fertilizer</vt:lpstr>
      <vt:lpstr>producer economics</vt:lpstr>
      <vt:lpstr>farmer economics</vt:lpstr>
      <vt:lpstr>jobs</vt:lpstr>
      <vt:lpstr>net energy</vt:lpstr>
      <vt:lpstr>data for plots</vt:lpstr>
    </vt:vector>
  </TitlesOfParts>
  <Company>University of Dayton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Brecha</dc:creator>
  <cp:lastModifiedBy>Robert Brecha</cp:lastModifiedBy>
  <dcterms:created xsi:type="dcterms:W3CDTF">2022-02-15T13:18:10Z</dcterms:created>
  <dcterms:modified xsi:type="dcterms:W3CDTF">2024-06-24T16:25:38Z</dcterms:modified>
</cp:coreProperties>
</file>