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recha1\Box\rbrecha1 workspace\Python Scripts\"/>
    </mc:Choice>
  </mc:AlternateContent>
  <xr:revisionPtr revIDLastSave="0" documentId="13_ncr:1_{EAFCD3C1-AA7D-4F39-BCF0-1225221AD5AC}" xr6:coauthVersionLast="47" xr6:coauthVersionMax="47" xr10:uidLastSave="{00000000-0000-0000-0000-000000000000}"/>
  <bookViews>
    <workbookView xWindow="-108" yWindow="-108" windowWidth="23256" windowHeight="12576" tabRatio="697" activeTab="2" xr2:uid="{0268779D-050C-48A3-A429-1AAFFF58C720}"/>
  </bookViews>
  <sheets>
    <sheet name="LDV_data" sheetId="1" r:id="rId1"/>
    <sheet name="Pop_data" sheetId="3" r:id="rId2"/>
    <sheet name="SSP_pop_data" sheetId="4" r:id="rId3"/>
    <sheet name="Python_input_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" i="1" l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8" i="1"/>
  <c r="G33" i="1" l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32" i="1"/>
  <c r="K22" i="1"/>
  <c r="K8" i="1"/>
  <c r="K9" i="1"/>
  <c r="D4" i="2" s="1"/>
  <c r="K10" i="1"/>
  <c r="K11" i="1"/>
  <c r="D6" i="2" s="1"/>
  <c r="K12" i="1"/>
  <c r="K13" i="1"/>
  <c r="D8" i="2" s="1"/>
  <c r="K14" i="1"/>
  <c r="K15" i="1"/>
  <c r="K16" i="1"/>
  <c r="K17" i="1"/>
  <c r="D12" i="2" s="1"/>
  <c r="K18" i="1"/>
  <c r="K19" i="1"/>
  <c r="K20" i="1"/>
  <c r="K21" i="1"/>
  <c r="D16" i="2" s="1"/>
  <c r="K7" i="1"/>
  <c r="B3" i="2"/>
  <c r="B4" i="2"/>
  <c r="B5" i="2"/>
  <c r="B6" i="2"/>
  <c r="C7" i="2" s="1"/>
  <c r="B7" i="2"/>
  <c r="B8" i="2"/>
  <c r="B9" i="2"/>
  <c r="C9" i="2" s="1"/>
  <c r="B10" i="2"/>
  <c r="C11" i="2" s="1"/>
  <c r="B11" i="2"/>
  <c r="B12" i="2"/>
  <c r="C13" i="2" s="1"/>
  <c r="B13" i="2"/>
  <c r="B14" i="2"/>
  <c r="C15" i="2" s="1"/>
  <c r="B15" i="2"/>
  <c r="B16" i="2"/>
  <c r="B17" i="2"/>
  <c r="C17" i="2" s="1"/>
  <c r="B18" i="2"/>
  <c r="B19" i="2"/>
  <c r="B20" i="2"/>
  <c r="B21" i="2"/>
  <c r="B22" i="2"/>
  <c r="C23" i="2" s="1"/>
  <c r="B23" i="2"/>
  <c r="B24" i="2"/>
  <c r="B25" i="2"/>
  <c r="C25" i="2" s="1"/>
  <c r="B26" i="2"/>
  <c r="C27" i="2" s="1"/>
  <c r="B27" i="2"/>
  <c r="B28" i="2"/>
  <c r="B29" i="2"/>
  <c r="B30" i="2"/>
  <c r="C31" i="2" s="1"/>
  <c r="B31" i="2"/>
  <c r="B32" i="2"/>
  <c r="B2" i="2"/>
  <c r="C3" i="2" s="1"/>
  <c r="C5" i="2"/>
  <c r="C29" i="2"/>
  <c r="C19" i="2"/>
  <c r="K40" i="1"/>
  <c r="C4" i="2"/>
  <c r="C8" i="2"/>
  <c r="C12" i="2"/>
  <c r="C14" i="2"/>
  <c r="C16" i="2"/>
  <c r="C20" i="2"/>
  <c r="C21" i="2"/>
  <c r="C24" i="2"/>
  <c r="C28" i="2"/>
  <c r="C30" i="2"/>
  <c r="C32" i="2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10" i="1"/>
  <c r="X8" i="1"/>
  <c r="X9" i="1"/>
  <c r="S8" i="1"/>
  <c r="V2" i="3"/>
  <c r="W2" i="3"/>
  <c r="X2" i="3"/>
  <c r="Y2" i="3"/>
  <c r="V3" i="3"/>
  <c r="W3" i="3"/>
  <c r="X3" i="3"/>
  <c r="Y3" i="3"/>
  <c r="V4" i="3"/>
  <c r="W4" i="3"/>
  <c r="X4" i="3"/>
  <c r="Y4" i="3"/>
  <c r="V5" i="3"/>
  <c r="W5" i="3"/>
  <c r="X5" i="3"/>
  <c r="Y5" i="3"/>
  <c r="V6" i="3"/>
  <c r="W6" i="3"/>
  <c r="X6" i="3"/>
  <c r="Y6" i="3"/>
  <c r="V7" i="3"/>
  <c r="W7" i="3"/>
  <c r="X7" i="3"/>
  <c r="Y7" i="3"/>
  <c r="V8" i="3"/>
  <c r="W8" i="3"/>
  <c r="X8" i="3"/>
  <c r="Y8" i="3"/>
  <c r="U3" i="3"/>
  <c r="U4" i="3"/>
  <c r="U5" i="3"/>
  <c r="U6" i="3"/>
  <c r="U7" i="3"/>
  <c r="U8" i="3"/>
  <c r="U2" i="3"/>
  <c r="P2" i="3"/>
  <c r="R7" i="3"/>
  <c r="AF3" i="3" s="1"/>
  <c r="R12" i="3"/>
  <c r="R17" i="3"/>
  <c r="R22" i="3"/>
  <c r="R27" i="3"/>
  <c r="AF7" i="3" s="1"/>
  <c r="R32" i="3"/>
  <c r="R2" i="3"/>
  <c r="O7" i="3"/>
  <c r="O12" i="3"/>
  <c r="O17" i="3"/>
  <c r="O22" i="3"/>
  <c r="O27" i="3"/>
  <c r="O32" i="3"/>
  <c r="N2" i="3"/>
  <c r="N7" i="3"/>
  <c r="N12" i="3"/>
  <c r="N17" i="3"/>
  <c r="AB5" i="3" s="1"/>
  <c r="N22" i="3"/>
  <c r="N27" i="3"/>
  <c r="N32" i="3"/>
  <c r="P7" i="3"/>
  <c r="P12" i="3"/>
  <c r="P17" i="3"/>
  <c r="P22" i="3"/>
  <c r="P27" i="3"/>
  <c r="P32" i="3"/>
  <c r="Q2" i="3"/>
  <c r="Q7" i="3"/>
  <c r="AE3" i="3" s="1"/>
  <c r="Q12" i="3"/>
  <c r="AE4" i="3" s="1"/>
  <c r="Q17" i="3"/>
  <c r="Q22" i="3"/>
  <c r="Q27" i="3"/>
  <c r="AE7" i="3" s="1"/>
  <c r="Q32" i="3"/>
  <c r="AE8" i="3" s="1"/>
  <c r="O2" i="3"/>
  <c r="D3" i="2"/>
  <c r="D5" i="2"/>
  <c r="D7" i="2"/>
  <c r="D9" i="2"/>
  <c r="D10" i="2"/>
  <c r="D11" i="2"/>
  <c r="D13" i="2"/>
  <c r="D14" i="2"/>
  <c r="D15" i="2"/>
  <c r="D17" i="2"/>
  <c r="D2" i="2"/>
  <c r="C32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7" i="1"/>
  <c r="K23" i="1" l="1"/>
  <c r="D18" i="2" s="1"/>
  <c r="K37" i="1"/>
  <c r="D32" i="2" s="1"/>
  <c r="K36" i="1"/>
  <c r="D31" i="2" s="1"/>
  <c r="K33" i="1"/>
  <c r="D28" i="2" s="1"/>
  <c r="K29" i="1"/>
  <c r="D24" i="2" s="1"/>
  <c r="K25" i="1"/>
  <c r="D20" i="2" s="1"/>
  <c r="K32" i="1"/>
  <c r="D27" i="2" s="1"/>
  <c r="K28" i="1"/>
  <c r="D23" i="2" s="1"/>
  <c r="K24" i="1"/>
  <c r="D19" i="2" s="1"/>
  <c r="K35" i="1"/>
  <c r="D30" i="2" s="1"/>
  <c r="K31" i="1"/>
  <c r="D26" i="2" s="1"/>
  <c r="K27" i="1"/>
  <c r="D22" i="2" s="1"/>
  <c r="K34" i="1"/>
  <c r="D29" i="2" s="1"/>
  <c r="K30" i="1"/>
  <c r="D25" i="2" s="1"/>
  <c r="K26" i="1"/>
  <c r="D21" i="2" s="1"/>
  <c r="C22" i="2"/>
  <c r="C26" i="2"/>
  <c r="C10" i="2"/>
  <c r="C6" i="2"/>
  <c r="C18" i="2"/>
  <c r="AB7" i="3"/>
  <c r="AB3" i="3"/>
  <c r="AF5" i="3"/>
  <c r="AC7" i="3"/>
  <c r="AC6" i="3"/>
  <c r="AC3" i="3"/>
  <c r="AF2" i="3"/>
  <c r="AC8" i="3"/>
  <c r="AC4" i="3"/>
  <c r="AF6" i="3"/>
  <c r="AE2" i="3"/>
  <c r="AE6" i="3"/>
  <c r="S9" i="1"/>
  <c r="S10" i="1" s="1"/>
  <c r="AC2" i="3"/>
  <c r="AE5" i="3"/>
  <c r="AB6" i="3"/>
  <c r="AB2" i="3"/>
  <c r="AC5" i="3"/>
  <c r="AF8" i="3"/>
  <c r="AF4" i="3"/>
  <c r="AB8" i="3"/>
  <c r="AB4" i="3"/>
  <c r="AD8" i="3"/>
  <c r="AD7" i="3"/>
  <c r="AD6" i="3"/>
  <c r="AD5" i="3"/>
  <c r="AD4" i="3"/>
  <c r="AD3" i="3"/>
  <c r="AD2" i="3"/>
  <c r="C33" i="1"/>
  <c r="S11" i="1" l="1"/>
  <c r="C34" i="1"/>
  <c r="S12" i="1" l="1"/>
  <c r="C35" i="1"/>
  <c r="S13" i="1" l="1"/>
  <c r="C36" i="1"/>
  <c r="S14" i="1" l="1"/>
  <c r="C37" i="1"/>
  <c r="S15" i="1" l="1"/>
  <c r="C38" i="1"/>
  <c r="S16" i="1" l="1"/>
  <c r="C39" i="1"/>
  <c r="S17" i="1" l="1"/>
  <c r="C40" i="1"/>
  <c r="S18" i="1" l="1"/>
  <c r="C41" i="1"/>
  <c r="S19" i="1" l="1"/>
  <c r="C42" i="1"/>
  <c r="S20" i="1" l="1"/>
  <c r="C43" i="1"/>
  <c r="S21" i="1" l="1"/>
  <c r="C44" i="1"/>
  <c r="S22" i="1" l="1"/>
  <c r="C45" i="1"/>
  <c r="S23" i="1" l="1"/>
  <c r="K39" i="1"/>
  <c r="C48" i="1"/>
  <c r="S24" i="1" l="1"/>
  <c r="S25" i="1" l="1"/>
  <c r="S26" i="1" l="1"/>
  <c r="S27" i="1" l="1"/>
  <c r="S28" i="1" l="1"/>
  <c r="S29" i="1" l="1"/>
  <c r="S30" i="1" l="1"/>
  <c r="S31" i="1" l="1"/>
  <c r="S32" i="1" s="1"/>
  <c r="S33" i="1" s="1"/>
  <c r="S34" i="1" s="1"/>
  <c r="S35" i="1" s="1"/>
  <c r="S36" i="1" s="1"/>
  <c r="S37" i="1" s="1"/>
  <c r="S38" i="1" s="1"/>
</calcChain>
</file>

<file path=xl/sharedStrings.xml><?xml version="1.0" encoding="utf-8"?>
<sst xmlns="http://schemas.openxmlformats.org/spreadsheetml/2006/main" count="284" uniqueCount="83">
  <si>
    <t>Vehicles</t>
  </si>
  <si>
    <t>Cumulative</t>
  </si>
  <si>
    <t>(thousands)</t>
  </si>
  <si>
    <r>
      <t>Percentage</t>
    </r>
    <r>
      <rPr>
        <vertAlign val="superscript"/>
        <sz val="10"/>
        <color indexed="8"/>
        <rFont val="Arial"/>
        <family val="1"/>
      </rPr>
      <t>a</t>
    </r>
  </si>
  <si>
    <r>
      <t>percentage</t>
    </r>
    <r>
      <rPr>
        <vertAlign val="superscript"/>
        <sz val="10"/>
        <color indexed="8"/>
        <rFont val="Arial"/>
        <family val="1"/>
      </rPr>
      <t>a</t>
    </r>
  </si>
  <si>
    <t>Table 3.11</t>
  </si>
  <si>
    <t>Cars in Operation by Age 2013</t>
  </si>
  <si>
    <t>TEDB 40</t>
  </si>
  <si>
    <t>Table 3.14</t>
  </si>
  <si>
    <t>Annual Mileage for Cars and Light Trucks by Vehicle Age</t>
  </si>
  <si>
    <t>Estimated annual</t>
  </si>
  <si>
    <t>Vehicle age</t>
  </si>
  <si>
    <t>vehicle miles of</t>
  </si>
  <si>
    <t>(years)</t>
  </si>
  <si>
    <t>travel for cars</t>
  </si>
  <si>
    <t>travel for light trucks</t>
  </si>
  <si>
    <t>Total</t>
  </si>
  <si>
    <t>Trucks in Operation by Age 2013</t>
  </si>
  <si>
    <t>Table 3.12</t>
  </si>
  <si>
    <t>Table 3.15</t>
  </si>
  <si>
    <t>Survival Rates for Cars and Light Trucks by Vehicle Age</t>
  </si>
  <si>
    <t>Estimated</t>
  </si>
  <si>
    <t>survival rate</t>
  </si>
  <si>
    <t>for cars</t>
  </si>
  <si>
    <t>for light trucks</t>
  </si>
  <si>
    <t>Age (years)</t>
  </si>
  <si>
    <t>15 and older</t>
  </si>
  <si>
    <t>Under 1</t>
  </si>
  <si>
    <t>**Not much difference between cars and trucks here</t>
  </si>
  <si>
    <t>**"Trucks" here is not just LDV personal vehicles, I believe</t>
  </si>
  <si>
    <t>Vintage</t>
  </si>
  <si>
    <r>
      <t xml:space="preserve">Table 4.2 </t>
    </r>
    <r>
      <rPr>
        <b/>
        <sz val="11"/>
        <color rgb="FFFF0000"/>
        <rFont val="Times New Roman"/>
        <family val="1"/>
      </rPr>
      <t>(Updated June 2022)</t>
    </r>
  </si>
  <si>
    <t>Summary Statistics for Two-Axle, Four-Tire Trucks, 1970–2020</t>
  </si>
  <si>
    <t>Year</t>
  </si>
  <si>
    <r>
      <t>Registrations</t>
    </r>
    <r>
      <rPr>
        <sz val="10"/>
        <color indexed="8"/>
        <rFont val="Times New Roman"/>
        <family val="1"/>
      </rPr>
      <t xml:space="preserve"> (thousands)</t>
    </r>
  </si>
  <si>
    <t>Vehicle travel (billion miles)</t>
  </si>
  <si>
    <t>Miles</t>
  </si>
  <si>
    <t xml:space="preserve">Fuel use </t>
  </si>
  <si>
    <r>
      <t>Average fuel economy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per vehicle</t>
    </r>
  </si>
  <si>
    <t>(per vehicle)</t>
  </si>
  <si>
    <t>(million gallons)</t>
  </si>
  <si>
    <t>(miles per gallon)</t>
  </si>
  <si>
    <r>
      <rPr>
        <b/>
        <sz val="11"/>
        <color theme="1"/>
        <rFont val="Times New Roman"/>
        <family val="1"/>
      </rPr>
      <t>Table 4.1</t>
    </r>
    <r>
      <rPr>
        <b/>
        <sz val="11"/>
        <color rgb="FFFF0000"/>
        <rFont val="Times New Roman"/>
        <family val="1"/>
      </rPr>
      <t xml:space="preserve"> (Updated June 2022)</t>
    </r>
  </si>
  <si>
    <t>Summary Statistics for Cars, 1970–2020</t>
  </si>
  <si>
    <r>
      <t>Registrations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(thousands)</t>
    </r>
  </si>
  <si>
    <r>
      <t>Average fuel economy</t>
    </r>
    <r>
      <rPr>
        <vertAlign val="superscript"/>
        <sz val="10"/>
        <color theme="1"/>
        <rFont val="Times New Roman"/>
        <family val="1"/>
      </rPr>
      <t>b</t>
    </r>
    <r>
      <rPr>
        <sz val="10"/>
        <color indexed="8"/>
        <rFont val="Times New Roman"/>
        <family val="1"/>
      </rPr>
      <t xml:space="preserve"> per vehicle</t>
    </r>
  </si>
  <si>
    <t>Vehicle number weighted fuel economy</t>
  </si>
  <si>
    <t>average survival rate</t>
  </si>
  <si>
    <t>Number of LDVs</t>
  </si>
  <si>
    <t>(millions)</t>
  </si>
  <si>
    <t>sum</t>
  </si>
  <si>
    <t>actual</t>
  </si>
  <si>
    <t>Source: Wittgenstein Centre for Demography and Global Human Capital (2023). Wittgenstein Centre Data Explorer Version 3.0</t>
  </si>
  <si>
    <t xml:space="preserve">Available at: www.wittgensteincentre.org/dataexplorer </t>
  </si>
  <si>
    <t>Population Size (000's)</t>
  </si>
  <si>
    <t>De facto population in a country or region, classified by sex and by five-year age groups. Available in all scenarios and at all geographical scales. Figures are presented in thousands.</t>
  </si>
  <si>
    <t>Multiple Scenarios</t>
  </si>
  <si>
    <t>Scenario</t>
  </si>
  <si>
    <t>Population</t>
  </si>
  <si>
    <t>SSP2</t>
  </si>
  <si>
    <t>SSP1</t>
  </si>
  <si>
    <t>SSP3</t>
  </si>
  <si>
    <t>SSP4</t>
  </si>
  <si>
    <t>SSP5</t>
  </si>
  <si>
    <t>IIASA SSP database</t>
  </si>
  <si>
    <t>https://tntcat.iiasa.ac.at/SspDb</t>
  </si>
  <si>
    <t>GDP|PPP</t>
  </si>
  <si>
    <t>billion US$2005/yr</t>
  </si>
  <si>
    <t>GDP per capita|PPP</t>
  </si>
  <si>
    <t>US$2005/yr</t>
  </si>
  <si>
    <t>SSP1_pop</t>
  </si>
  <si>
    <t>SSP2_pop</t>
  </si>
  <si>
    <t>SSP3_pop</t>
  </si>
  <si>
    <t>SSP4_pop</t>
  </si>
  <si>
    <t>SSP5_pop</t>
  </si>
  <si>
    <t>vintage</t>
  </si>
  <si>
    <t>survival_rate</t>
  </si>
  <si>
    <t>survival_rate_delta</t>
  </si>
  <si>
    <t>initial_distribution</t>
  </si>
  <si>
    <t>NaN</t>
  </si>
  <si>
    <t>initial_EV_distribution</t>
  </si>
  <si>
    <t>Start with 2020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</si>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</sst>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#,##0.0"/>
    <numFmt numFmtId="168" formatCode="0.0"/>
    <numFmt numFmtId="169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indexed="8"/>
      <name val="Arial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name val="Arial"/>
      <family val="2"/>
    </font>
    <font>
      <vertAlign val="superscript"/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5" fillId="0" borderId="0" applyNumberFormat="0" applyFill="0" applyBorder="0" applyAlignment="0" applyProtection="0"/>
  </cellStyleXfs>
  <cellXfs count="92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0" xfId="0" applyNumberFormat="1" applyFont="1" applyAlignment="1">
      <alignment horizontal="right" indent="2"/>
    </xf>
    <xf numFmtId="164" fontId="3" fillId="0" borderId="0" xfId="0" applyNumberFormat="1" applyFont="1" applyAlignment="1">
      <alignment horizontal="right" indent="2"/>
    </xf>
    <xf numFmtId="3" fontId="3" fillId="0" borderId="2" xfId="0" applyNumberFormat="1" applyFont="1" applyBorder="1" applyAlignment="1">
      <alignment horizontal="right" indent="2"/>
    </xf>
    <xf numFmtId="3" fontId="5" fillId="0" borderId="0" xfId="0" applyNumberFormat="1" applyFont="1" applyAlignment="1">
      <alignment horizontal="right" indent="2"/>
    </xf>
    <xf numFmtId="164" fontId="5" fillId="0" borderId="0" xfId="0" applyNumberFormat="1" applyFont="1" applyAlignment="1">
      <alignment horizontal="right" indent="2"/>
    </xf>
    <xf numFmtId="0" fontId="6" fillId="0" borderId="0" xfId="0" applyFont="1"/>
    <xf numFmtId="0" fontId="5" fillId="0" borderId="2" xfId="0" applyFont="1" applyBorder="1" applyAlignment="1">
      <alignment horizontal="right" indent="2"/>
    </xf>
    <xf numFmtId="0" fontId="7" fillId="0" borderId="0" xfId="0" applyFont="1"/>
    <xf numFmtId="3" fontId="5" fillId="0" borderId="3" xfId="0" applyNumberFormat="1" applyFont="1" applyBorder="1" applyAlignment="1">
      <alignment horizontal="right" indent="2"/>
    </xf>
    <xf numFmtId="0" fontId="5" fillId="0" borderId="3" xfId="0" applyFont="1" applyBorder="1"/>
    <xf numFmtId="0" fontId="3" fillId="0" borderId="3" xfId="0" applyFont="1" applyBorder="1"/>
    <xf numFmtId="0" fontId="8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right" indent="4"/>
    </xf>
    <xf numFmtId="165" fontId="3" fillId="0" borderId="0" xfId="1" applyNumberFormat="1" applyFont="1" applyAlignment="1">
      <alignment horizontal="right" indent="2"/>
    </xf>
    <xf numFmtId="165" fontId="3" fillId="0" borderId="0" xfId="1" applyNumberFormat="1" applyFont="1" applyAlignment="1">
      <alignment horizontal="center"/>
    </xf>
    <xf numFmtId="0" fontId="3" fillId="0" borderId="2" xfId="0" applyFont="1" applyBorder="1" applyAlignment="1">
      <alignment horizontal="right" indent="4"/>
    </xf>
    <xf numFmtId="165" fontId="3" fillId="0" borderId="2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165" fontId="5" fillId="0" borderId="5" xfId="1" applyNumberFormat="1" applyFont="1" applyBorder="1" applyAlignment="1">
      <alignment horizontal="center"/>
    </xf>
    <xf numFmtId="3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3" fontId="3" fillId="0" borderId="2" xfId="0" applyNumberFormat="1" applyFont="1" applyBorder="1" applyAlignment="1">
      <alignment horizontal="right" indent="1"/>
    </xf>
    <xf numFmtId="3" fontId="5" fillId="0" borderId="0" xfId="0" applyNumberFormat="1" applyFont="1" applyAlignment="1">
      <alignment horizontal="right" indent="1"/>
    </xf>
    <xf numFmtId="164" fontId="5" fillId="0" borderId="0" xfId="0" applyNumberFormat="1" applyFont="1" applyAlignment="1">
      <alignment horizontal="right" indent="1"/>
    </xf>
    <xf numFmtId="0" fontId="3" fillId="0" borderId="6" xfId="0" applyFont="1" applyBorder="1"/>
    <xf numFmtId="0" fontId="3" fillId="0" borderId="0" xfId="0" applyFont="1" applyAlignment="1">
      <alignment horizontal="right" indent="5"/>
    </xf>
    <xf numFmtId="166" fontId="3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right" indent="5"/>
    </xf>
    <xf numFmtId="166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right" indent="2"/>
    </xf>
    <xf numFmtId="164" fontId="3" fillId="2" borderId="2" xfId="0" applyNumberFormat="1" applyFont="1" applyFill="1" applyBorder="1" applyAlignment="1">
      <alignment horizontal="right" indent="2"/>
    </xf>
    <xf numFmtId="2" fontId="0" fillId="0" borderId="0" xfId="0" applyNumberFormat="1"/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7" fontId="3" fillId="0" borderId="0" xfId="0" applyNumberFormat="1" applyFont="1" applyAlignment="1">
      <alignment horizontal="right" indent="4"/>
    </xf>
    <xf numFmtId="3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 vertical="top" indent="2"/>
    </xf>
    <xf numFmtId="167" fontId="3" fillId="0" borderId="0" xfId="0" applyNumberFormat="1" applyFont="1" applyAlignment="1">
      <alignment horizontal="right" vertical="top" indent="4"/>
    </xf>
    <xf numFmtId="3" fontId="3" fillId="0" borderId="0" xfId="0" applyNumberFormat="1" applyFont="1" applyAlignment="1">
      <alignment horizontal="right" vertical="top" wrapText="1" indent="2"/>
    </xf>
    <xf numFmtId="3" fontId="3" fillId="0" borderId="0" xfId="0" applyNumberFormat="1" applyFont="1" applyAlignment="1">
      <alignment horizontal="center" vertical="top"/>
    </xf>
    <xf numFmtId="168" fontId="3" fillId="0" borderId="0" xfId="0" applyNumberFormat="1" applyFont="1" applyAlignment="1">
      <alignment horizontal="center" vertical="top"/>
    </xf>
    <xf numFmtId="3" fontId="3" fillId="0" borderId="2" xfId="0" applyNumberFormat="1" applyFont="1" applyBorder="1" applyAlignment="1">
      <alignment horizontal="right" vertical="top" indent="2"/>
    </xf>
    <xf numFmtId="167" fontId="3" fillId="0" borderId="2" xfId="0" applyNumberFormat="1" applyFont="1" applyBorder="1" applyAlignment="1">
      <alignment horizontal="right" vertical="top" indent="4"/>
    </xf>
    <xf numFmtId="3" fontId="3" fillId="0" borderId="2" xfId="0" applyNumberFormat="1" applyFont="1" applyBorder="1" applyAlignment="1">
      <alignment horizontal="right" vertical="top" wrapText="1" indent="2"/>
    </xf>
    <xf numFmtId="3" fontId="3" fillId="0" borderId="2" xfId="0" applyNumberFormat="1" applyFont="1" applyBorder="1" applyAlignment="1">
      <alignment horizontal="center" vertical="top"/>
    </xf>
    <xf numFmtId="168" fontId="3" fillId="0" borderId="2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 wrapText="1"/>
    </xf>
    <xf numFmtId="167" fontId="3" fillId="0" borderId="0" xfId="0" applyNumberFormat="1" applyFont="1" applyAlignment="1">
      <alignment horizontal="right" indent="3"/>
    </xf>
    <xf numFmtId="167" fontId="3" fillId="0" borderId="2" xfId="0" applyNumberFormat="1" applyFont="1" applyBorder="1" applyAlignment="1">
      <alignment horizontal="right" indent="3"/>
    </xf>
    <xf numFmtId="3" fontId="3" fillId="0" borderId="2" xfId="0" applyNumberFormat="1" applyFont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/>
    <xf numFmtId="0" fontId="8" fillId="3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right" indent="1"/>
    </xf>
    <xf numFmtId="164" fontId="3" fillId="2" borderId="2" xfId="0" applyNumberFormat="1" applyFont="1" applyFill="1" applyBorder="1" applyAlignment="1">
      <alignment horizontal="right" indent="1"/>
    </xf>
    <xf numFmtId="10" fontId="0" fillId="0" borderId="0" xfId="0" applyNumberFormat="1"/>
    <xf numFmtId="9" fontId="0" fillId="0" borderId="0" xfId="0" applyNumberFormat="1"/>
    <xf numFmtId="10" fontId="0" fillId="0" borderId="0" xfId="3" applyNumberFormat="1" applyFont="1"/>
    <xf numFmtId="168" fontId="0" fillId="0" borderId="0" xfId="0" applyNumberFormat="1"/>
    <xf numFmtId="167" fontId="0" fillId="0" borderId="0" xfId="0" applyNumberFormat="1"/>
    <xf numFmtId="0" fontId="0" fillId="4" borderId="0" xfId="0" applyFill="1"/>
    <xf numFmtId="0" fontId="0" fillId="5" borderId="0" xfId="0" applyFill="1" applyAlignment="1">
      <alignment horizontal="center" vertical="top"/>
    </xf>
    <xf numFmtId="0" fontId="0" fillId="5" borderId="0" xfId="0" applyFill="1" applyAlignment="1">
      <alignment horizontal="left" vertical="top"/>
    </xf>
    <xf numFmtId="1" fontId="0" fillId="0" borderId="0" xfId="0" applyNumberFormat="1"/>
    <xf numFmtId="0" fontId="15" fillId="0" borderId="0" xfId="5"/>
    <xf numFmtId="169" fontId="0" fillId="0" borderId="0" xfId="2" applyNumberFormat="1" applyFont="1"/>
    <xf numFmtId="0" fontId="0" fillId="5" borderId="0" xfId="0" applyFill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6">
    <cellStyle name="Comma" xfId="1" builtinId="3"/>
    <cellStyle name="Currency" xfId="2" builtinId="4"/>
    <cellStyle name="Hyperlink" xfId="5" builtinId="8"/>
    <cellStyle name="Normal" xfId="0" builtinId="0"/>
    <cellStyle name="Normal 2" xfId="4" xr:uid="{FEEB9DA5-D09E-4377-BCA3-91155E59B06B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LDV_data!$J$7:$J$37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LDV_data!$K$7:$K$37</c:f>
              <c:numCache>
                <c:formatCode>0.00</c:formatCode>
                <c:ptCount val="31"/>
                <c:pt idx="0">
                  <c:v>16.452879820000003</c:v>
                </c:pt>
                <c:pt idx="1">
                  <c:v>12.909182627999998</c:v>
                </c:pt>
                <c:pt idx="2">
                  <c:v>13.162303855999999</c:v>
                </c:pt>
                <c:pt idx="3">
                  <c:v>10.12484912</c:v>
                </c:pt>
                <c:pt idx="4">
                  <c:v>8.0998792959999992</c:v>
                </c:pt>
                <c:pt idx="5">
                  <c:v>14.174788768000001</c:v>
                </c:pt>
                <c:pt idx="6">
                  <c:v>15.440394908</c:v>
                </c:pt>
                <c:pt idx="7">
                  <c:v>15.440394908</c:v>
                </c:pt>
                <c:pt idx="8">
                  <c:v>15.440394908</c:v>
                </c:pt>
                <c:pt idx="9">
                  <c:v>16.199758591999998</c:v>
                </c:pt>
                <c:pt idx="10">
                  <c:v>14.681031224</c:v>
                </c:pt>
                <c:pt idx="11">
                  <c:v>13.92166754</c:v>
                </c:pt>
                <c:pt idx="12">
                  <c:v>12.402940172000001</c:v>
                </c:pt>
                <c:pt idx="13">
                  <c:v>11.643576488000001</c:v>
                </c:pt>
                <c:pt idx="14">
                  <c:v>10.631091576000001</c:v>
                </c:pt>
                <c:pt idx="15">
                  <c:v>9.8717278920000009</c:v>
                </c:pt>
                <c:pt idx="16">
                  <c:v>8.0948168714400008</c:v>
                </c:pt>
                <c:pt idx="17">
                  <c:v>6.6377498345808004</c:v>
                </c:pt>
                <c:pt idx="18">
                  <c:v>5.4429548643562562</c:v>
                </c:pt>
                <c:pt idx="19">
                  <c:v>4.4632229887721317</c:v>
                </c:pt>
                <c:pt idx="20">
                  <c:v>3.6598428507931478</c:v>
                </c:pt>
                <c:pt idx="21">
                  <c:v>3.0010711376503814</c:v>
                </c:pt>
                <c:pt idx="22">
                  <c:v>2.460878332873313</c:v>
                </c:pt>
                <c:pt idx="23">
                  <c:v>2.0179202329561168</c:v>
                </c:pt>
                <c:pt idx="24">
                  <c:v>1.6546945910240158</c:v>
                </c:pt>
                <c:pt idx="25">
                  <c:v>1.356849564639693</c:v>
                </c:pt>
                <c:pt idx="26">
                  <c:v>1.1126166430045485</c:v>
                </c:pt>
                <c:pt idx="27">
                  <c:v>0.91234564726372969</c:v>
                </c:pt>
                <c:pt idx="28">
                  <c:v>0.74812343075625831</c:v>
                </c:pt>
                <c:pt idx="29">
                  <c:v>0.61346121322013192</c:v>
                </c:pt>
                <c:pt idx="30">
                  <c:v>0.50303819484050816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C-4799-AF9D-BB48ACE24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29007"/>
        <c:axId val="1562329423"/>
      </c:scatterChart>
      <c:valAx>
        <c:axId val="15623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29423"/>
        <c:crosses val="autoZero"/>
        <c:crossBetween val="midCat"/>
      </c:valAx>
      <c:valAx>
        <c:axId val="15623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Pop_data!$N$1</c:f>
              <c:strCache>
                <c:ptCount val="1"/>
                <c:pt idx="0">
                  <c:v>SSP1_pop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Pop_data!$B$2:$B$8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Pop_data!$N$2:$N$32</c:f>
              <c:numCache>
                <c:formatCode>General</c:formatCode>
                <c:ptCount val="31"/>
                <c:pt idx="0" formatCode="0.00">
                  <c:v>335.38819999999998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342.06200000000001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">
                  <c:v>349.79090000000002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">
                  <c:v>357.28949999999998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364.16050000000001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">
                  <c:v>370.46199999999999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">
                  <c:v>376.1465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D-4C96-B244-ACF49D851D47}"/>
            </c:ext>
          </c:extLst>
        </c:ser>
        <c:ser>
          <c:idx val="0"/>
          <c:order val="1"/>
          <c:tx>
            <c:strRef>
              <c:f>Pop_data!$O$1</c:f>
              <c:strCache>
                <c:ptCount val="1"/>
                <c:pt idx="0">
                  <c:v>SSP2_pop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Pop_data!$B$2:$B$8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Pop_data!$O$2:$O$32</c:f>
              <c:numCache>
                <c:formatCode>General</c:formatCode>
                <c:ptCount val="31"/>
                <c:pt idx="0" formatCode="0.00">
                  <c:v>335.38819999999998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342.01100000000002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">
                  <c:v>349.70850000000002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">
                  <c:v>357.25620000000004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364.3648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">
                  <c:v>370.89490000000001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">
                  <c:v>377.02509999999995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D-4C96-B244-ACF49D851D47}"/>
            </c:ext>
          </c:extLst>
        </c:ser>
        <c:ser>
          <c:idx val="2"/>
          <c:order val="2"/>
          <c:tx>
            <c:strRef>
              <c:f>Pop_data!$P$1</c:f>
              <c:strCache>
                <c:ptCount val="1"/>
                <c:pt idx="0">
                  <c:v>SSP3_pop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Pop_data!$B$2:$B$8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Pop_data!$P$2:$P$32</c:f>
              <c:numCache>
                <c:formatCode>General</c:formatCode>
                <c:ptCount val="31"/>
                <c:pt idx="0" formatCode="0.00">
                  <c:v>335.38819999999998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340.62259999999998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">
                  <c:v>347.24020000000002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">
                  <c:v>354.01820000000004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360.77530000000002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">
                  <c:v>366.85770000000002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">
                  <c:v>372.81940000000003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7D-4C96-B244-ACF49D851D47}"/>
            </c:ext>
          </c:extLst>
        </c:ser>
        <c:ser>
          <c:idx val="3"/>
          <c:order val="3"/>
          <c:tx>
            <c:strRef>
              <c:f>Pop_data!$Q$1</c:f>
              <c:strCache>
                <c:ptCount val="1"/>
                <c:pt idx="0">
                  <c:v>SSP4_pop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Pop_data!$B$2:$B$8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Pop_data!$Q$2:$Q$32</c:f>
              <c:numCache>
                <c:formatCode>General</c:formatCode>
                <c:ptCount val="31"/>
                <c:pt idx="0" formatCode="0.00">
                  <c:v>335.38819999999998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341.18700000000001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">
                  <c:v>347.20759999999996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">
                  <c:v>352.05409999999995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355.3596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">
                  <c:v>357.69579999999996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">
                  <c:v>359.14209999999997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7D-4C96-B244-ACF49D851D47}"/>
            </c:ext>
          </c:extLst>
        </c:ser>
        <c:ser>
          <c:idx val="4"/>
          <c:order val="4"/>
          <c:tx>
            <c:strRef>
              <c:f>Pop_data!$R$1</c:f>
              <c:strCache>
                <c:ptCount val="1"/>
                <c:pt idx="0">
                  <c:v>SSP5_pop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Pop_data!$B$2:$B$8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Pop_data!$R$2:$R$32</c:f>
              <c:numCache>
                <c:formatCode>General</c:formatCode>
                <c:ptCount val="31"/>
                <c:pt idx="0" formatCode="0.00">
                  <c:v>335.38819999999998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345.66020000000003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">
                  <c:v>357.46050000000002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">
                  <c:v>369.49290000000002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381.27800000000002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">
                  <c:v>392.80520000000001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">
                  <c:v>403.94299999999998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7D-4C96-B244-ACF49D851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83071"/>
        <c:axId val="1197280991"/>
      </c:scatterChart>
      <c:valAx>
        <c:axId val="1197283071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80991"/>
        <c:crosses val="autoZero"/>
        <c:crossBetween val="midCat"/>
      </c:valAx>
      <c:valAx>
        <c:axId val="1197280991"/>
        <c:scaling>
          <c:orientation val="minMax"/>
          <c:min val="3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U.S. Population [millions]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8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464820</xdr:colOff>
      <xdr:row>27</xdr:row>
      <xdr:rowOff>154305</xdr:rowOff>
    </xdr:from>
    <xdr:to>
      <xdr:col>32</xdr:col>
      <xdr:colOff>144780</xdr:colOff>
      <xdr:row>42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4DD97-C6A5-497A-88BF-3CF1D183D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9</xdr:row>
      <xdr:rowOff>144780</xdr:rowOff>
    </xdr:from>
    <xdr:to>
      <xdr:col>10</xdr:col>
      <xdr:colOff>594360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D1042-D3FE-41D5-BE31-BF1A59E0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ntcat.iiasa.ac.at/Ssp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99F6-545E-4163-A7D4-17ABB348F3C3}">
  <dimension ref="A1:AP48"/>
  <sheetViews>
    <sheetView topLeftCell="AH8" workbookViewId="0">
      <selection activeCell="AP8" sqref="AP8"/>
    </sheetView>
  </sheetViews>
  <sheetFormatPr defaultRowHeight="14.4" x14ac:dyDescent="0.3"/>
  <cols>
    <col min="2" max="4" width="11.5546875" customWidth="1"/>
    <col min="9" max="9" width="3.6640625" style="68" customWidth="1"/>
    <col min="12" max="12" width="3.21875" style="68" customWidth="1"/>
    <col min="13" max="13" width="11.77734375" customWidth="1"/>
    <col min="15" max="15" width="11" customWidth="1"/>
    <col min="20" max="20" width="10.44140625" customWidth="1"/>
    <col min="26" max="26" width="11.44140625" customWidth="1"/>
    <col min="27" max="27" width="12.77734375" customWidth="1"/>
    <col min="30" max="30" width="11.6640625" customWidth="1"/>
    <col min="33" max="33" width="11.6640625" customWidth="1"/>
    <col min="34" max="34" width="12.5546875" customWidth="1"/>
    <col min="37" max="37" width="10.6640625" customWidth="1"/>
    <col min="39" max="39" width="13.77734375" customWidth="1"/>
  </cols>
  <sheetData>
    <row r="1" spans="1:42" x14ac:dyDescent="0.3">
      <c r="C1" s="38" t="s">
        <v>7</v>
      </c>
      <c r="G1" s="38" t="s">
        <v>7</v>
      </c>
    </row>
    <row r="2" spans="1:42" x14ac:dyDescent="0.3">
      <c r="C2" s="14" t="s">
        <v>5</v>
      </c>
      <c r="D2" s="14"/>
      <c r="E2" s="14"/>
      <c r="F2" s="14"/>
      <c r="G2" s="14" t="s">
        <v>18</v>
      </c>
      <c r="H2" s="14"/>
      <c r="I2" s="69"/>
      <c r="J2" s="14"/>
      <c r="K2" s="14"/>
      <c r="L2" s="69"/>
      <c r="M2" s="14"/>
      <c r="O2" s="14" t="s">
        <v>8</v>
      </c>
      <c r="P2" s="14"/>
      <c r="Q2" s="14"/>
      <c r="U2" s="14" t="s">
        <v>19</v>
      </c>
      <c r="V2" s="14"/>
      <c r="W2" s="14"/>
      <c r="X2" s="14"/>
      <c r="Y2" s="86" t="s">
        <v>42</v>
      </c>
      <c r="Z2" s="86"/>
      <c r="AA2" s="86"/>
      <c r="AB2" s="86"/>
      <c r="AC2" s="86"/>
      <c r="AD2" s="86"/>
      <c r="AH2" s="14" t="s">
        <v>31</v>
      </c>
      <c r="AJ2" s="14"/>
      <c r="AK2" s="14"/>
    </row>
    <row r="3" spans="1:42" ht="15" thickBot="1" x14ac:dyDescent="0.35">
      <c r="C3" s="14" t="s">
        <v>6</v>
      </c>
      <c r="D3" s="14"/>
      <c r="E3" s="14"/>
      <c r="F3" s="14"/>
      <c r="G3" s="14" t="s">
        <v>17</v>
      </c>
      <c r="H3" s="14"/>
      <c r="I3" s="69"/>
      <c r="J3" s="14"/>
      <c r="K3" s="14"/>
      <c r="L3" s="69"/>
      <c r="O3" s="39" t="s">
        <v>9</v>
      </c>
      <c r="P3" s="39"/>
      <c r="Q3" s="39"/>
      <c r="R3" s="14"/>
      <c r="S3" s="14"/>
      <c r="U3" s="39" t="s">
        <v>20</v>
      </c>
      <c r="V3" s="39"/>
      <c r="W3" s="39"/>
      <c r="X3" s="39"/>
      <c r="Y3" s="87" t="s">
        <v>43</v>
      </c>
      <c r="Z3" s="87"/>
      <c r="AA3" s="87"/>
      <c r="AB3" s="87"/>
      <c r="AC3" s="87"/>
      <c r="AD3" s="87"/>
      <c r="AH3" s="14" t="s">
        <v>32</v>
      </c>
      <c r="AJ3" s="14"/>
      <c r="AK3" s="14"/>
    </row>
    <row r="4" spans="1:42" ht="15.6" thickTop="1" thickBot="1" x14ac:dyDescent="0.35">
      <c r="B4" s="85">
        <v>2013</v>
      </c>
      <c r="C4" s="85"/>
      <c r="D4" s="85"/>
      <c r="F4" s="85">
        <v>2013</v>
      </c>
      <c r="G4" s="85"/>
      <c r="H4" s="85"/>
      <c r="J4" t="s">
        <v>81</v>
      </c>
      <c r="M4" s="16"/>
      <c r="N4" s="16"/>
      <c r="O4" s="17" t="s">
        <v>10</v>
      </c>
      <c r="P4" s="16"/>
      <c r="Q4" s="17" t="s">
        <v>10</v>
      </c>
      <c r="R4" s="39"/>
      <c r="S4" s="39"/>
      <c r="T4" s="15"/>
      <c r="U4" s="1" t="s">
        <v>21</v>
      </c>
      <c r="V4" s="1" t="s">
        <v>21</v>
      </c>
      <c r="W4" s="1"/>
      <c r="Y4" s="32"/>
      <c r="Z4" s="32"/>
      <c r="AA4" s="32"/>
      <c r="AB4" s="32"/>
      <c r="AC4" s="32"/>
      <c r="AD4" s="32"/>
      <c r="AI4" s="15"/>
      <c r="AJ4" s="15"/>
      <c r="AK4" s="15"/>
    </row>
    <row r="5" spans="1:42" ht="42" customHeight="1" thickTop="1" x14ac:dyDescent="0.3">
      <c r="B5" s="1" t="s">
        <v>0</v>
      </c>
      <c r="C5" s="1"/>
      <c r="D5" s="1" t="s">
        <v>1</v>
      </c>
      <c r="F5" s="1" t="s">
        <v>0</v>
      </c>
      <c r="G5" s="1"/>
      <c r="H5" s="1" t="s">
        <v>1</v>
      </c>
      <c r="J5" t="s">
        <v>30</v>
      </c>
      <c r="K5" s="59" t="s">
        <v>48</v>
      </c>
      <c r="M5" s="1" t="s">
        <v>11</v>
      </c>
      <c r="N5" s="15"/>
      <c r="O5" s="1" t="s">
        <v>12</v>
      </c>
      <c r="P5" s="15"/>
      <c r="Q5" s="1" t="s">
        <v>12</v>
      </c>
      <c r="R5" s="15"/>
      <c r="S5" s="15"/>
      <c r="T5" s="1" t="s">
        <v>11</v>
      </c>
      <c r="U5" s="59" t="s">
        <v>22</v>
      </c>
      <c r="V5" s="59" t="s">
        <v>22</v>
      </c>
      <c r="W5" s="59" t="s">
        <v>47</v>
      </c>
      <c r="Y5" s="88" t="s">
        <v>33</v>
      </c>
      <c r="Z5" s="90" t="s">
        <v>44</v>
      </c>
      <c r="AA5" s="90" t="s">
        <v>35</v>
      </c>
      <c r="AB5" s="59" t="s">
        <v>36</v>
      </c>
      <c r="AC5" s="1" t="s">
        <v>37</v>
      </c>
      <c r="AD5" s="59" t="s">
        <v>45</v>
      </c>
      <c r="AF5" s="17" t="s">
        <v>33</v>
      </c>
      <c r="AG5" s="44" t="s">
        <v>34</v>
      </c>
      <c r="AH5" s="44" t="s">
        <v>35</v>
      </c>
      <c r="AI5" s="44" t="s">
        <v>36</v>
      </c>
      <c r="AJ5" s="17" t="s">
        <v>37</v>
      </c>
      <c r="AK5" s="44" t="s">
        <v>38</v>
      </c>
      <c r="AM5" s="64" t="s">
        <v>46</v>
      </c>
    </row>
    <row r="6" spans="1:42" ht="27" x14ac:dyDescent="0.3">
      <c r="A6" s="2" t="s">
        <v>25</v>
      </c>
      <c r="B6" s="2" t="s">
        <v>2</v>
      </c>
      <c r="C6" s="40" t="s">
        <v>3</v>
      </c>
      <c r="D6" s="2" t="s">
        <v>4</v>
      </c>
      <c r="F6" s="2" t="s">
        <v>2</v>
      </c>
      <c r="G6" s="40" t="s">
        <v>3</v>
      </c>
      <c r="H6" s="2" t="s">
        <v>4</v>
      </c>
      <c r="J6" s="2" t="s">
        <v>13</v>
      </c>
      <c r="K6" s="70" t="s">
        <v>49</v>
      </c>
      <c r="M6" s="2" t="s">
        <v>13</v>
      </c>
      <c r="N6" s="18"/>
      <c r="O6" s="2" t="s">
        <v>14</v>
      </c>
      <c r="P6" s="18"/>
      <c r="Q6" s="2" t="s">
        <v>15</v>
      </c>
      <c r="T6" s="2" t="s">
        <v>13</v>
      </c>
      <c r="U6" s="2" t="s">
        <v>23</v>
      </c>
      <c r="V6" s="2" t="s">
        <v>24</v>
      </c>
      <c r="W6" s="67"/>
      <c r="Y6" s="89"/>
      <c r="Z6" s="91"/>
      <c r="AA6" s="91"/>
      <c r="AB6" s="45" t="s">
        <v>39</v>
      </c>
      <c r="AC6" s="45" t="s">
        <v>40</v>
      </c>
      <c r="AD6" s="45" t="s">
        <v>41</v>
      </c>
      <c r="AF6" s="2"/>
      <c r="AG6" s="45"/>
      <c r="AH6" s="45"/>
      <c r="AI6" s="45" t="s">
        <v>39</v>
      </c>
      <c r="AJ6" s="45" t="s">
        <v>40</v>
      </c>
      <c r="AK6" s="45" t="s">
        <v>41</v>
      </c>
      <c r="AM6" s="45" t="s">
        <v>41</v>
      </c>
    </row>
    <row r="7" spans="1:42" x14ac:dyDescent="0.3">
      <c r="A7" s="1" t="s">
        <v>27</v>
      </c>
      <c r="B7" s="3">
        <v>9287</v>
      </c>
      <c r="C7" s="41">
        <v>7.0999999999999994E-2</v>
      </c>
      <c r="D7" s="4">
        <v>7.0999999999999994E-2</v>
      </c>
      <c r="F7" s="27">
        <v>8097</v>
      </c>
      <c r="G7" s="71">
        <v>6.5000000000000002E-2</v>
      </c>
      <c r="H7" s="28">
        <v>6.5000000000000002E-2</v>
      </c>
      <c r="J7" s="19">
        <v>0</v>
      </c>
      <c r="K7" s="43">
        <f>($Z$27+$AG$27)*G7/1000</f>
        <v>16.452879820000003</v>
      </c>
      <c r="M7" s="19">
        <v>0</v>
      </c>
      <c r="N7" s="15"/>
      <c r="O7" s="20">
        <v>13843</v>
      </c>
      <c r="P7" s="21"/>
      <c r="Q7" s="21">
        <v>15962</v>
      </c>
      <c r="S7">
        <v>1000000</v>
      </c>
      <c r="T7" s="33">
        <v>0</v>
      </c>
      <c r="U7" s="34">
        <v>1</v>
      </c>
      <c r="V7" s="34">
        <v>1</v>
      </c>
      <c r="W7" s="34">
        <f>AVERAGE(U7,V7)</f>
        <v>1</v>
      </c>
      <c r="Y7" s="1">
        <v>2000</v>
      </c>
      <c r="Z7" s="3">
        <v>133621</v>
      </c>
      <c r="AA7" s="60">
        <v>1600.287</v>
      </c>
      <c r="AB7" s="3">
        <v>11976.313603400664</v>
      </c>
      <c r="AC7" s="47">
        <v>73065</v>
      </c>
      <c r="AD7" s="48">
        <v>21.902237733524945</v>
      </c>
      <c r="AF7" s="1">
        <v>2000</v>
      </c>
      <c r="AG7" s="49">
        <v>79085</v>
      </c>
      <c r="AH7" s="50">
        <v>923.05899999999997</v>
      </c>
      <c r="AI7" s="51">
        <v>11671.732945564898</v>
      </c>
      <c r="AJ7" s="52">
        <v>52939</v>
      </c>
      <c r="AK7" s="53">
        <v>17.399999999999999</v>
      </c>
      <c r="AM7" s="66">
        <f>(AH7*AK7+AA7*AD7)/(AA7+AH7)</f>
        <v>20.255285210933987</v>
      </c>
    </row>
    <row r="8" spans="1:42" x14ac:dyDescent="0.3">
      <c r="A8" s="1">
        <v>1</v>
      </c>
      <c r="B8" s="3">
        <v>7700</v>
      </c>
      <c r="C8" s="41">
        <v>5.8999999999999997E-2</v>
      </c>
      <c r="D8" s="4">
        <v>0.13100000000000001</v>
      </c>
      <c r="F8" s="27">
        <v>6391</v>
      </c>
      <c r="G8" s="71">
        <v>5.0999999999999997E-2</v>
      </c>
      <c r="H8" s="28">
        <v>0.11600000000000001</v>
      </c>
      <c r="J8" s="19">
        <v>1</v>
      </c>
      <c r="K8" s="43">
        <f t="shared" ref="K8:K21" si="0">($Z$27+$AG$27)*G8/1000</f>
        <v>12.909182627999998</v>
      </c>
      <c r="M8" s="19">
        <v>1</v>
      </c>
      <c r="N8" s="15"/>
      <c r="O8" s="21">
        <v>13580</v>
      </c>
      <c r="P8" s="21"/>
      <c r="Q8" s="21">
        <v>15670</v>
      </c>
      <c r="S8">
        <f>S7-X8</f>
        <v>994000</v>
      </c>
      <c r="T8" s="33">
        <v>1</v>
      </c>
      <c r="U8" s="34">
        <v>0.997</v>
      </c>
      <c r="V8" s="1">
        <v>0.99099999999999999</v>
      </c>
      <c r="W8" s="34">
        <f t="shared" ref="W8:W38" si="1">AVERAGE(U8,V8)</f>
        <v>0.99399999999999999</v>
      </c>
      <c r="X8">
        <f>S7*(W7-W8)</f>
        <v>6000.0000000000055</v>
      </c>
      <c r="Y8" s="1">
        <v>2001</v>
      </c>
      <c r="Z8" s="3">
        <v>137633</v>
      </c>
      <c r="AA8" s="60">
        <v>1628.3320000000001</v>
      </c>
      <c r="AB8" s="3">
        <v>11830.970770091475</v>
      </c>
      <c r="AC8" s="47">
        <v>73559</v>
      </c>
      <c r="AD8" s="48">
        <v>22.136407509618131</v>
      </c>
      <c r="AF8" s="1">
        <v>2001</v>
      </c>
      <c r="AG8" s="49">
        <v>84188</v>
      </c>
      <c r="AH8" s="50">
        <v>943.20699999999999</v>
      </c>
      <c r="AI8" s="51">
        <v>11203.580082672115</v>
      </c>
      <c r="AJ8" s="52">
        <v>53522</v>
      </c>
      <c r="AK8" s="53">
        <v>17.600000000000001</v>
      </c>
      <c r="AM8" s="66">
        <f t="shared" ref="AM8:AM27" si="2">(AH8*AK8+AA8*AD8)/(AA8+AH8)</f>
        <v>20.472512341034498</v>
      </c>
      <c r="AP8">
        <f>K8*Python_input_data!C3</f>
        <v>7.7455095768000054E-2</v>
      </c>
    </row>
    <row r="9" spans="1:42" x14ac:dyDescent="0.3">
      <c r="A9" s="1">
        <v>2</v>
      </c>
      <c r="B9" s="3">
        <v>5957</v>
      </c>
      <c r="C9" s="41">
        <v>4.5999999999999999E-2</v>
      </c>
      <c r="D9" s="4">
        <v>0.17599999999999999</v>
      </c>
      <c r="F9" s="27">
        <v>6417</v>
      </c>
      <c r="G9" s="71">
        <v>5.1999999999999998E-2</v>
      </c>
      <c r="H9" s="28">
        <v>0.16800000000000001</v>
      </c>
      <c r="J9" s="19">
        <v>2</v>
      </c>
      <c r="K9" s="43">
        <f t="shared" si="0"/>
        <v>13.162303855999999</v>
      </c>
      <c r="M9" s="19">
        <v>2</v>
      </c>
      <c r="N9" s="15"/>
      <c r="O9" s="21">
        <v>13296</v>
      </c>
      <c r="P9" s="21"/>
      <c r="Q9" s="21">
        <v>15320</v>
      </c>
      <c r="S9">
        <f t="shared" ref="S9:S38" si="3">S8-X9</f>
        <v>988000</v>
      </c>
      <c r="T9" s="33">
        <v>2</v>
      </c>
      <c r="U9" s="34">
        <v>0.99399999999999999</v>
      </c>
      <c r="V9" s="1">
        <v>0.98199999999999998</v>
      </c>
      <c r="W9" s="34">
        <f t="shared" si="1"/>
        <v>0.98799999999999999</v>
      </c>
      <c r="X9" s="81">
        <f>$S$7*(W8-W9)</f>
        <v>6000.0000000000055</v>
      </c>
      <c r="Y9" s="1">
        <v>2002</v>
      </c>
      <c r="Z9" s="3">
        <v>135921</v>
      </c>
      <c r="AA9" s="60">
        <v>1658.4739999999999</v>
      </c>
      <c r="AB9" s="3">
        <v>12201.749545691982</v>
      </c>
      <c r="AC9" s="47">
        <v>75471</v>
      </c>
      <c r="AD9" s="48">
        <v>21.974983768599856</v>
      </c>
      <c r="AF9" s="1">
        <v>2002</v>
      </c>
      <c r="AG9" s="49">
        <v>85011</v>
      </c>
      <c r="AH9" s="50">
        <v>966.03399999999999</v>
      </c>
      <c r="AI9" s="51">
        <v>11363.635294256037</v>
      </c>
      <c r="AJ9" s="52">
        <v>55220</v>
      </c>
      <c r="AK9" s="53">
        <v>17.5</v>
      </c>
      <c r="AM9" s="66">
        <f t="shared" si="2"/>
        <v>20.327823055081137</v>
      </c>
      <c r="AP9">
        <f>K9*Python_input_data!C4</f>
        <v>7.9450526293762647E-2</v>
      </c>
    </row>
    <row r="10" spans="1:42" x14ac:dyDescent="0.3">
      <c r="A10" s="1">
        <v>3</v>
      </c>
      <c r="B10" s="3">
        <v>6159</v>
      </c>
      <c r="C10" s="41">
        <v>4.7E-2</v>
      </c>
      <c r="D10" s="4">
        <v>0.224</v>
      </c>
      <c r="F10" s="27">
        <v>4972</v>
      </c>
      <c r="G10" s="71">
        <v>0.04</v>
      </c>
      <c r="H10" s="28">
        <v>0.20799999999999999</v>
      </c>
      <c r="J10" s="19">
        <v>3</v>
      </c>
      <c r="K10" s="43">
        <f t="shared" si="0"/>
        <v>10.12484912</v>
      </c>
      <c r="M10" s="19">
        <v>3</v>
      </c>
      <c r="N10" s="15"/>
      <c r="O10" s="21">
        <v>12992</v>
      </c>
      <c r="P10" s="21"/>
      <c r="Q10" s="21">
        <v>15098</v>
      </c>
      <c r="S10">
        <f t="shared" si="3"/>
        <v>982072</v>
      </c>
      <c r="T10" s="33">
        <v>3</v>
      </c>
      <c r="U10" s="34">
        <v>0.99099999999999999</v>
      </c>
      <c r="V10" s="1">
        <v>0.97299999999999998</v>
      </c>
      <c r="W10" s="34">
        <f t="shared" si="1"/>
        <v>0.98199999999999998</v>
      </c>
      <c r="X10" s="81">
        <f>$S$9*(W9-W10)</f>
        <v>5928.0000000000055</v>
      </c>
      <c r="Y10" s="1">
        <v>2003</v>
      </c>
      <c r="Z10" s="3">
        <v>135670</v>
      </c>
      <c r="AA10" s="60">
        <v>1672.079</v>
      </c>
      <c r="AB10" s="3">
        <v>12324.603818088008</v>
      </c>
      <c r="AC10" s="47">
        <v>74590</v>
      </c>
      <c r="AD10" s="48">
        <v>22.416932564686952</v>
      </c>
      <c r="AF10" s="1">
        <v>2003</v>
      </c>
      <c r="AG10" s="49">
        <v>87187</v>
      </c>
      <c r="AH10" s="50">
        <v>984.09400000000005</v>
      </c>
      <c r="AI10" s="51">
        <v>11287.164370835102</v>
      </c>
      <c r="AJ10" s="52">
        <v>60758</v>
      </c>
      <c r="AK10" s="53">
        <v>16.2</v>
      </c>
      <c r="AM10" s="66">
        <f t="shared" si="2"/>
        <v>20.113601405416439</v>
      </c>
      <c r="AP10">
        <f>K10*Python_input_data!C5</f>
        <v>6.1486937975708561E-2</v>
      </c>
    </row>
    <row r="11" spans="1:42" x14ac:dyDescent="0.3">
      <c r="A11" s="1">
        <v>4</v>
      </c>
      <c r="B11" s="3">
        <v>5484</v>
      </c>
      <c r="C11" s="41">
        <v>4.2000000000000003E-2</v>
      </c>
      <c r="D11" s="4">
        <v>0.26600000000000001</v>
      </c>
      <c r="F11" s="27">
        <v>3991</v>
      </c>
      <c r="G11" s="71">
        <v>3.2000000000000001E-2</v>
      </c>
      <c r="H11" s="28">
        <v>0.24</v>
      </c>
      <c r="J11" s="19">
        <v>4</v>
      </c>
      <c r="K11" s="43">
        <f t="shared" si="0"/>
        <v>8.0998792959999992</v>
      </c>
      <c r="M11" s="19">
        <v>4</v>
      </c>
      <c r="N11" s="15"/>
      <c r="O11" s="21">
        <v>12672</v>
      </c>
      <c r="P11" s="21"/>
      <c r="Q11" s="21">
        <v>14528</v>
      </c>
      <c r="S11">
        <f t="shared" si="3"/>
        <v>972192</v>
      </c>
      <c r="T11" s="33">
        <v>4</v>
      </c>
      <c r="U11" s="34">
        <v>0.98399999999999999</v>
      </c>
      <c r="V11" s="34">
        <v>0.96</v>
      </c>
      <c r="W11" s="34">
        <f t="shared" si="1"/>
        <v>0.97199999999999998</v>
      </c>
      <c r="X11" s="81">
        <f t="shared" ref="X11:X38" si="4">$S$9*(W10-W11)</f>
        <v>9880.0000000000091</v>
      </c>
      <c r="Y11" s="1">
        <v>2004</v>
      </c>
      <c r="Z11" s="3">
        <v>136431</v>
      </c>
      <c r="AA11" s="60">
        <v>1699.89</v>
      </c>
      <c r="AB11" s="3">
        <v>12459.704905776547</v>
      </c>
      <c r="AC11" s="47">
        <v>75402</v>
      </c>
      <c r="AD11" s="48">
        <v>22.544362218508791</v>
      </c>
      <c r="AF11" s="1">
        <v>2004</v>
      </c>
      <c r="AG11" s="49">
        <v>91845</v>
      </c>
      <c r="AH11" s="50">
        <v>1027.164</v>
      </c>
      <c r="AI11" s="51">
        <v>11183.668136534379</v>
      </c>
      <c r="AJ11" s="52">
        <v>63417</v>
      </c>
      <c r="AK11" s="53">
        <v>16.2</v>
      </c>
      <c r="AM11" s="66">
        <f t="shared" si="2"/>
        <v>20.15471372830201</v>
      </c>
      <c r="AP11">
        <f>K11*Python_input_data!C6</f>
        <v>8.2483495885947111E-2</v>
      </c>
    </row>
    <row r="12" spans="1:42" x14ac:dyDescent="0.3">
      <c r="A12" s="1">
        <v>5</v>
      </c>
      <c r="B12" s="3">
        <v>7226</v>
      </c>
      <c r="C12" s="41">
        <v>5.6000000000000001E-2</v>
      </c>
      <c r="D12" s="4">
        <v>0.32100000000000001</v>
      </c>
      <c r="F12" s="27">
        <v>6927</v>
      </c>
      <c r="G12" s="71">
        <v>5.6000000000000001E-2</v>
      </c>
      <c r="H12" s="28">
        <v>0.29499999999999998</v>
      </c>
      <c r="J12" s="19">
        <v>5</v>
      </c>
      <c r="K12" s="43">
        <f t="shared" si="0"/>
        <v>14.174788768000001</v>
      </c>
      <c r="M12" s="19">
        <v>5</v>
      </c>
      <c r="N12" s="15"/>
      <c r="O12" s="21">
        <v>12337</v>
      </c>
      <c r="P12" s="21"/>
      <c r="Q12" s="21">
        <v>14081</v>
      </c>
      <c r="S12">
        <f t="shared" si="3"/>
        <v>957866</v>
      </c>
      <c r="T12" s="33">
        <v>5</v>
      </c>
      <c r="U12" s="34">
        <v>0.97399999999999998</v>
      </c>
      <c r="V12" s="1">
        <v>0.94099999999999995</v>
      </c>
      <c r="W12" s="34">
        <f t="shared" si="1"/>
        <v>0.95750000000000002</v>
      </c>
      <c r="X12" s="81">
        <f t="shared" si="4"/>
        <v>14325.999999999958</v>
      </c>
      <c r="Y12" s="1">
        <v>2005</v>
      </c>
      <c r="Z12" s="3">
        <v>136568</v>
      </c>
      <c r="AA12" s="60">
        <v>1708.421</v>
      </c>
      <c r="AB12" s="3">
        <v>12509.672836974987</v>
      </c>
      <c r="AC12" s="47">
        <v>77418</v>
      </c>
      <c r="AD12" s="48">
        <v>22.067490764421713</v>
      </c>
      <c r="AF12" s="1">
        <v>2005</v>
      </c>
      <c r="AG12" s="49">
        <v>95337</v>
      </c>
      <c r="AH12" s="50">
        <v>1041.0509999999999</v>
      </c>
      <c r="AI12" s="51">
        <v>10919.69539633091</v>
      </c>
      <c r="AJ12" s="52">
        <v>58869</v>
      </c>
      <c r="AK12" s="53">
        <v>17.7</v>
      </c>
      <c r="AM12" s="66">
        <f t="shared" si="2"/>
        <v>20.4137984817609</v>
      </c>
      <c r="AP12">
        <f>K12*Python_input_data!C7</f>
        <v>0.21145518223868251</v>
      </c>
    </row>
    <row r="13" spans="1:42" x14ac:dyDescent="0.3">
      <c r="A13" s="1">
        <v>6</v>
      </c>
      <c r="B13" s="3">
        <v>7896</v>
      </c>
      <c r="C13" s="41">
        <v>6.0999999999999999E-2</v>
      </c>
      <c r="D13" s="4">
        <v>0.38200000000000001</v>
      </c>
      <c r="F13" s="27">
        <v>7587</v>
      </c>
      <c r="G13" s="71">
        <v>6.0999999999999999E-2</v>
      </c>
      <c r="H13" s="28">
        <v>0.35599999999999998</v>
      </c>
      <c r="J13" s="19">
        <v>6</v>
      </c>
      <c r="K13" s="43">
        <f t="shared" si="0"/>
        <v>15.440394908</v>
      </c>
      <c r="M13" s="19">
        <v>6</v>
      </c>
      <c r="N13" s="15"/>
      <c r="O13" s="21">
        <v>11989</v>
      </c>
      <c r="P13" s="21"/>
      <c r="Q13" s="21">
        <v>13548</v>
      </c>
      <c r="S13">
        <f t="shared" si="3"/>
        <v>940575.99999999988</v>
      </c>
      <c r="T13" s="33">
        <v>6</v>
      </c>
      <c r="U13" s="34">
        <v>0.96099999999999997</v>
      </c>
      <c r="V13" s="1">
        <v>0.91900000000000004</v>
      </c>
      <c r="W13" s="34">
        <f t="shared" si="1"/>
        <v>0.94</v>
      </c>
      <c r="X13" s="81">
        <f t="shared" si="4"/>
        <v>17290.000000000069</v>
      </c>
      <c r="Y13" s="1">
        <v>2006</v>
      </c>
      <c r="Z13" s="3">
        <v>135400</v>
      </c>
      <c r="AA13" s="60">
        <v>1690.5340000000001</v>
      </c>
      <c r="AB13" s="3">
        <v>12485.480059084195</v>
      </c>
      <c r="AC13" s="47">
        <v>75009</v>
      </c>
      <c r="AD13" s="48">
        <v>22.537748803476916</v>
      </c>
      <c r="AF13" s="1">
        <v>2006</v>
      </c>
      <c r="AG13" s="49">
        <v>99125</v>
      </c>
      <c r="AH13" s="50">
        <v>1082.49</v>
      </c>
      <c r="AI13" s="51">
        <v>10920.453972257252</v>
      </c>
      <c r="AJ13" s="52">
        <v>60685</v>
      </c>
      <c r="AK13" s="53">
        <v>17.8</v>
      </c>
      <c r="AM13" s="66">
        <f t="shared" si="2"/>
        <v>20.688300078086968</v>
      </c>
      <c r="AP13">
        <f>K13*Python_input_data!C8</f>
        <v>0.28220042912793847</v>
      </c>
    </row>
    <row r="14" spans="1:42" x14ac:dyDescent="0.3">
      <c r="A14" s="1">
        <v>7</v>
      </c>
      <c r="B14" s="3">
        <v>7706</v>
      </c>
      <c r="C14" s="41">
        <v>5.8999999999999997E-2</v>
      </c>
      <c r="D14" s="4">
        <v>0.441</v>
      </c>
      <c r="F14" s="27">
        <v>7580</v>
      </c>
      <c r="G14" s="71">
        <v>6.0999999999999999E-2</v>
      </c>
      <c r="H14" s="28">
        <v>0.41699999999999998</v>
      </c>
      <c r="J14" s="19">
        <v>7</v>
      </c>
      <c r="K14" s="43">
        <f t="shared" si="0"/>
        <v>15.440394908</v>
      </c>
      <c r="M14" s="19">
        <v>7</v>
      </c>
      <c r="N14" s="15"/>
      <c r="O14" s="21">
        <v>11630</v>
      </c>
      <c r="P14" s="21"/>
      <c r="Q14" s="21">
        <v>13112</v>
      </c>
      <c r="S14">
        <f t="shared" si="3"/>
        <v>917357.99999999988</v>
      </c>
      <c r="T14" s="33">
        <v>7</v>
      </c>
      <c r="U14" s="34">
        <v>0.94199999999999995</v>
      </c>
      <c r="V14" s="1">
        <v>0.89100000000000001</v>
      </c>
      <c r="W14" s="34">
        <f t="shared" si="1"/>
        <v>0.91649999999999998</v>
      </c>
      <c r="X14" s="81">
        <f t="shared" si="4"/>
        <v>23217.999999999967</v>
      </c>
      <c r="Y14" s="1">
        <v>2007</v>
      </c>
      <c r="Z14" s="3">
        <v>135933</v>
      </c>
      <c r="AA14" s="60">
        <v>1672.4670000000001</v>
      </c>
      <c r="AB14" s="3">
        <v>12303.612809251617</v>
      </c>
      <c r="AC14" s="47">
        <v>74377</v>
      </c>
      <c r="AD14" s="48">
        <v>22.486346585638035</v>
      </c>
      <c r="AF14" s="1">
        <v>2007</v>
      </c>
      <c r="AG14" s="49">
        <v>101470</v>
      </c>
      <c r="AH14" s="50">
        <v>1112.271</v>
      </c>
      <c r="AI14" s="51">
        <v>10961.574849709274</v>
      </c>
      <c r="AJ14" s="52">
        <v>61836</v>
      </c>
      <c r="AK14" s="53">
        <v>18</v>
      </c>
      <c r="AM14" s="66">
        <f t="shared" si="2"/>
        <v>20.694424615544545</v>
      </c>
      <c r="AP14">
        <f>K14*Python_input_data!C9</f>
        <v>0.38600987269999942</v>
      </c>
    </row>
    <row r="15" spans="1:42" x14ac:dyDescent="0.3">
      <c r="A15" s="1">
        <v>8</v>
      </c>
      <c r="B15" s="3">
        <v>7843</v>
      </c>
      <c r="C15" s="41">
        <v>0.06</v>
      </c>
      <c r="D15" s="4">
        <v>0.502</v>
      </c>
      <c r="F15" s="27">
        <v>7585</v>
      </c>
      <c r="G15" s="71">
        <v>6.0999999999999999E-2</v>
      </c>
      <c r="H15" s="28">
        <v>0.47799999999999998</v>
      </c>
      <c r="J15" s="19">
        <v>8</v>
      </c>
      <c r="K15" s="43">
        <f t="shared" si="0"/>
        <v>15.440394908</v>
      </c>
      <c r="M15" s="19">
        <v>8</v>
      </c>
      <c r="N15" s="15"/>
      <c r="O15" s="21">
        <v>11262</v>
      </c>
      <c r="P15" s="21"/>
      <c r="Q15" s="21">
        <v>12544</v>
      </c>
      <c r="S15">
        <f t="shared" si="3"/>
        <v>890681.99999999988</v>
      </c>
      <c r="T15" s="33">
        <v>8</v>
      </c>
      <c r="U15" s="34">
        <v>0.92</v>
      </c>
      <c r="V15" s="1">
        <v>0.85899999999999999</v>
      </c>
      <c r="W15" s="34">
        <f t="shared" si="1"/>
        <v>0.88949999999999996</v>
      </c>
      <c r="X15" s="81">
        <f t="shared" si="4"/>
        <v>26676.000000000025</v>
      </c>
      <c r="Y15" s="2">
        <v>2008</v>
      </c>
      <c r="Z15" s="5">
        <v>137080</v>
      </c>
      <c r="AA15" s="61">
        <v>1615.85</v>
      </c>
      <c r="AB15" s="5">
        <v>11787.642252699154</v>
      </c>
      <c r="AC15" s="62">
        <v>71497.2</v>
      </c>
      <c r="AD15" s="63">
        <v>22.60018574153953</v>
      </c>
      <c r="AF15" s="2">
        <v>2008</v>
      </c>
      <c r="AG15" s="54">
        <v>101235</v>
      </c>
      <c r="AH15" s="55">
        <v>1108.5999999999999</v>
      </c>
      <c r="AI15" s="56">
        <v>10950.758137007952</v>
      </c>
      <c r="AJ15" s="57">
        <v>61198.9</v>
      </c>
      <c r="AK15" s="58">
        <v>18.100000000000001</v>
      </c>
      <c r="AM15" s="66">
        <f t="shared" si="2"/>
        <v>20.76902498870108</v>
      </c>
      <c r="AP15">
        <f>K15*Python_input_data!C10</f>
        <v>0.45487251774795462</v>
      </c>
    </row>
    <row r="16" spans="1:42" x14ac:dyDescent="0.3">
      <c r="A16" s="1">
        <v>9</v>
      </c>
      <c r="B16" s="3">
        <v>6924</v>
      </c>
      <c r="C16" s="41">
        <v>5.2999999999999999E-2</v>
      </c>
      <c r="D16" s="4">
        <v>0.55500000000000005</v>
      </c>
      <c r="F16" s="27">
        <v>7978</v>
      </c>
      <c r="G16" s="71">
        <v>6.4000000000000001E-2</v>
      </c>
      <c r="H16" s="28">
        <v>0.54200000000000004</v>
      </c>
      <c r="J16" s="19">
        <v>9</v>
      </c>
      <c r="K16" s="43">
        <f t="shared" si="0"/>
        <v>16.199758591999998</v>
      </c>
      <c r="M16" s="19">
        <v>9</v>
      </c>
      <c r="N16" s="15"/>
      <c r="O16" s="21">
        <v>10887</v>
      </c>
      <c r="P16" s="21"/>
      <c r="Q16" s="21">
        <v>12078</v>
      </c>
      <c r="S16">
        <f t="shared" si="3"/>
        <v>859559.99999999988</v>
      </c>
      <c r="T16" s="33">
        <v>9</v>
      </c>
      <c r="U16" s="34">
        <v>0.89300000000000002</v>
      </c>
      <c r="V16" s="1">
        <v>0.82299999999999995</v>
      </c>
      <c r="W16" s="34">
        <f t="shared" si="1"/>
        <v>0.85799999999999998</v>
      </c>
      <c r="X16" s="81">
        <f t="shared" si="4"/>
        <v>31121.999999999975</v>
      </c>
      <c r="Y16" s="1">
        <v>2009</v>
      </c>
      <c r="Z16" s="3">
        <v>134880</v>
      </c>
      <c r="AA16" s="60">
        <v>1566.7829999999999</v>
      </c>
      <c r="AB16" s="3">
        <v>11616.125444839858</v>
      </c>
      <c r="AC16" s="47">
        <v>66587</v>
      </c>
      <c r="AD16" s="48">
        <v>23.529863186507878</v>
      </c>
      <c r="AF16" s="1">
        <v>2009</v>
      </c>
      <c r="AG16" s="49">
        <v>100153.696</v>
      </c>
      <c r="AH16" s="50">
        <v>1066.4649999999999</v>
      </c>
      <c r="AI16" s="51">
        <v>10648.284013402759</v>
      </c>
      <c r="AJ16" s="52">
        <v>61824</v>
      </c>
      <c r="AK16" s="53">
        <v>17.250016174948239</v>
      </c>
      <c r="AM16" s="66">
        <f t="shared" si="2"/>
        <v>20.986526196151122</v>
      </c>
      <c r="AP16">
        <f>K16*Python_input_data!C11</f>
        <v>0.57368453698482236</v>
      </c>
    </row>
    <row r="17" spans="1:42" x14ac:dyDescent="0.3">
      <c r="A17" s="1">
        <v>10</v>
      </c>
      <c r="B17" s="3">
        <v>7237</v>
      </c>
      <c r="C17" s="41">
        <v>5.6000000000000001E-2</v>
      </c>
      <c r="D17" s="4">
        <v>0.61099999999999999</v>
      </c>
      <c r="F17" s="27">
        <v>7201</v>
      </c>
      <c r="G17" s="71">
        <v>5.8000000000000003E-2</v>
      </c>
      <c r="H17" s="28">
        <v>0.6</v>
      </c>
      <c r="J17" s="19">
        <v>10</v>
      </c>
      <c r="K17" s="43">
        <f t="shared" si="0"/>
        <v>14.681031224</v>
      </c>
      <c r="M17" s="19">
        <v>10</v>
      </c>
      <c r="N17" s="15"/>
      <c r="O17" s="21">
        <v>10509</v>
      </c>
      <c r="P17" s="21"/>
      <c r="Q17" s="21">
        <v>11595</v>
      </c>
      <c r="S17">
        <f t="shared" si="3"/>
        <v>824979.99999999988</v>
      </c>
      <c r="T17" s="33">
        <v>10</v>
      </c>
      <c r="U17" s="34">
        <v>0.86199999999999999</v>
      </c>
      <c r="V17" s="1">
        <v>0.78400000000000003</v>
      </c>
      <c r="W17" s="34">
        <f t="shared" si="1"/>
        <v>0.82299999999999995</v>
      </c>
      <c r="X17" s="81">
        <f t="shared" si="4"/>
        <v>34580.000000000029</v>
      </c>
      <c r="Y17" s="1">
        <v>2010</v>
      </c>
      <c r="Z17" s="3">
        <v>130892</v>
      </c>
      <c r="AA17" s="60">
        <v>1496.3779999999999</v>
      </c>
      <c r="AB17" s="3">
        <v>11432.157809491795</v>
      </c>
      <c r="AC17" s="47">
        <v>62245</v>
      </c>
      <c r="AD17" s="48">
        <v>24.040131737488956</v>
      </c>
      <c r="AF17" s="1">
        <v>2010</v>
      </c>
      <c r="AG17" s="49">
        <v>102702.321</v>
      </c>
      <c r="AH17" s="50">
        <v>1152.078</v>
      </c>
      <c r="AI17" s="51">
        <v>11217.643270204186</v>
      </c>
      <c r="AJ17" s="52">
        <v>64687</v>
      </c>
      <c r="AK17" s="53">
        <v>17.81003911141342</v>
      </c>
      <c r="AM17" s="66">
        <f t="shared" si="2"/>
        <v>21.33004229199171</v>
      </c>
      <c r="AP17">
        <f>K17*Python_input_data!C12</f>
        <v>0.5988765650815856</v>
      </c>
    </row>
    <row r="18" spans="1:42" x14ac:dyDescent="0.3">
      <c r="A18" s="1">
        <v>11</v>
      </c>
      <c r="B18" s="3">
        <v>7167</v>
      </c>
      <c r="C18" s="41">
        <v>5.5E-2</v>
      </c>
      <c r="D18" s="4">
        <v>0.66600000000000004</v>
      </c>
      <c r="F18" s="27">
        <v>6850</v>
      </c>
      <c r="G18" s="71">
        <v>5.5E-2</v>
      </c>
      <c r="H18" s="28">
        <v>0.65500000000000003</v>
      </c>
      <c r="J18" s="19">
        <v>11</v>
      </c>
      <c r="K18" s="43">
        <f t="shared" si="0"/>
        <v>13.92166754</v>
      </c>
      <c r="M18" s="19">
        <v>11</v>
      </c>
      <c r="N18" s="15"/>
      <c r="O18" s="21">
        <v>10129</v>
      </c>
      <c r="P18" s="21"/>
      <c r="Q18" s="21">
        <v>11131</v>
      </c>
      <c r="S18">
        <f t="shared" si="3"/>
        <v>785953.99999999988</v>
      </c>
      <c r="T18" s="33">
        <v>11</v>
      </c>
      <c r="U18" s="34">
        <v>0.82599999999999996</v>
      </c>
      <c r="V18" s="1">
        <v>0.74099999999999999</v>
      </c>
      <c r="W18" s="34">
        <f t="shared" si="1"/>
        <v>0.78349999999999997</v>
      </c>
      <c r="X18" s="81">
        <f t="shared" si="4"/>
        <v>39025.999999999978</v>
      </c>
      <c r="Y18" s="1">
        <v>2011</v>
      </c>
      <c r="Z18" s="3">
        <v>125657</v>
      </c>
      <c r="AA18" s="60">
        <v>1457.752</v>
      </c>
      <c r="AB18" s="3">
        <v>11601.040928877817</v>
      </c>
      <c r="AC18" s="47">
        <v>59646</v>
      </c>
      <c r="AD18" s="48">
        <v>24.440063038594371</v>
      </c>
      <c r="AF18" s="1">
        <v>2011</v>
      </c>
      <c r="AG18" s="49">
        <v>105571.27899999999</v>
      </c>
      <c r="AH18" s="50">
        <v>1192.7059999999999</v>
      </c>
      <c r="AI18" s="51">
        <v>11297.63711586747</v>
      </c>
      <c r="AJ18" s="52">
        <v>65786</v>
      </c>
      <c r="AK18" s="53">
        <v>18.130088468671147</v>
      </c>
      <c r="AM18" s="66">
        <f t="shared" si="2"/>
        <v>21.600574720200026</v>
      </c>
      <c r="AP18">
        <f>K18*Python_input_data!C13</f>
        <v>0.66817237889428882</v>
      </c>
    </row>
    <row r="19" spans="1:42" x14ac:dyDescent="0.3">
      <c r="A19" s="1">
        <v>12</v>
      </c>
      <c r="B19" s="3">
        <v>6660</v>
      </c>
      <c r="C19" s="41">
        <v>5.0999999999999997E-2</v>
      </c>
      <c r="D19" s="4">
        <v>0.71699999999999997</v>
      </c>
      <c r="F19" s="27">
        <v>6163</v>
      </c>
      <c r="G19" s="71">
        <v>4.9000000000000002E-2</v>
      </c>
      <c r="H19" s="28">
        <v>0.70399999999999996</v>
      </c>
      <c r="J19" s="19">
        <v>12</v>
      </c>
      <c r="K19" s="43">
        <f t="shared" si="0"/>
        <v>12.402940172000001</v>
      </c>
      <c r="M19" s="19">
        <v>12</v>
      </c>
      <c r="N19" s="15"/>
      <c r="O19" s="21">
        <v>9748</v>
      </c>
      <c r="P19" s="21"/>
      <c r="Q19" s="21">
        <v>10641</v>
      </c>
      <c r="S19">
        <f t="shared" si="3"/>
        <v>745445.99999999988</v>
      </c>
      <c r="T19" s="33">
        <v>12</v>
      </c>
      <c r="U19" s="34">
        <v>0.78800000000000003</v>
      </c>
      <c r="V19" s="1">
        <v>0.69699999999999995</v>
      </c>
      <c r="W19" s="34">
        <f t="shared" si="1"/>
        <v>0.74249999999999994</v>
      </c>
      <c r="X19" s="81">
        <f t="shared" si="4"/>
        <v>40508.000000000036</v>
      </c>
      <c r="Y19" s="1">
        <v>2012</v>
      </c>
      <c r="Z19" s="3">
        <v>111290</v>
      </c>
      <c r="AA19" s="60">
        <v>1438.5920000000001</v>
      </c>
      <c r="AB19" s="3">
        <v>12928.385299667536</v>
      </c>
      <c r="AC19" s="47">
        <v>57899</v>
      </c>
      <c r="AD19" s="48">
        <v>24.850170123836335</v>
      </c>
      <c r="AF19" s="1">
        <v>2012</v>
      </c>
      <c r="AG19" s="49">
        <v>120846.948</v>
      </c>
      <c r="AH19" s="50">
        <v>1225.4680000000001</v>
      </c>
      <c r="AI19" s="51">
        <v>10140.661558122261</v>
      </c>
      <c r="AJ19" s="52">
        <v>66395</v>
      </c>
      <c r="AK19" s="53">
        <v>18.457233225393477</v>
      </c>
      <c r="AM19" s="66">
        <f t="shared" si="2"/>
        <v>21.909418190673801</v>
      </c>
      <c r="AP19">
        <f>K19*Python_input_data!C14</f>
        <v>0.64903707345501027</v>
      </c>
    </row>
    <row r="20" spans="1:42" x14ac:dyDescent="0.3">
      <c r="A20" s="1">
        <v>13</v>
      </c>
      <c r="B20" s="3">
        <v>6889</v>
      </c>
      <c r="C20" s="41">
        <v>5.2999999999999999E-2</v>
      </c>
      <c r="D20" s="4">
        <v>0.77</v>
      </c>
      <c r="F20" s="27">
        <v>5673</v>
      </c>
      <c r="G20" s="71">
        <v>4.5999999999999999E-2</v>
      </c>
      <c r="H20" s="28">
        <v>0.75</v>
      </c>
      <c r="J20" s="19">
        <v>13</v>
      </c>
      <c r="K20" s="43">
        <f t="shared" si="0"/>
        <v>11.643576488000001</v>
      </c>
      <c r="M20" s="19">
        <v>13</v>
      </c>
      <c r="N20" s="15"/>
      <c r="O20" s="21">
        <v>9370</v>
      </c>
      <c r="P20" s="21"/>
      <c r="Q20" s="21">
        <v>10153</v>
      </c>
      <c r="S20">
        <f t="shared" si="3"/>
        <v>688142</v>
      </c>
      <c r="T20" s="33">
        <v>13</v>
      </c>
      <c r="U20" s="34">
        <v>0.71799999999999997</v>
      </c>
      <c r="V20" s="1">
        <v>0.65100000000000002</v>
      </c>
      <c r="W20" s="34">
        <f t="shared" si="1"/>
        <v>0.6845</v>
      </c>
      <c r="X20" s="81">
        <f t="shared" si="4"/>
        <v>57303.999999999942</v>
      </c>
      <c r="Y20" s="1">
        <v>2013</v>
      </c>
      <c r="Z20" s="3">
        <v>113676</v>
      </c>
      <c r="AA20" s="60">
        <v>1445.9739999999999</v>
      </c>
      <c r="AB20" s="3">
        <v>12720.363137337697</v>
      </c>
      <c r="AC20" s="47">
        <v>57290</v>
      </c>
      <c r="AD20" s="48">
        <v>25.240006982021296</v>
      </c>
      <c r="AF20" s="1">
        <v>2013</v>
      </c>
      <c r="AG20" s="49">
        <v>120523</v>
      </c>
      <c r="AH20" s="50">
        <v>1231.7560000000001</v>
      </c>
      <c r="AI20" s="51">
        <v>10220.090771056148</v>
      </c>
      <c r="AJ20" s="52">
        <v>65555</v>
      </c>
      <c r="AK20" s="53">
        <v>18.789657539470674</v>
      </c>
      <c r="AM20" s="66">
        <f t="shared" si="2"/>
        <v>22.272845756670577</v>
      </c>
      <c r="AP20">
        <f>K20*Python_input_data!C15</f>
        <v>0.90953190074612711</v>
      </c>
    </row>
    <row r="21" spans="1:42" x14ac:dyDescent="0.3">
      <c r="A21" s="1">
        <v>14</v>
      </c>
      <c r="B21" s="3">
        <v>5487</v>
      </c>
      <c r="C21" s="41">
        <v>4.2000000000000003E-2</v>
      </c>
      <c r="D21" s="4">
        <v>0.81200000000000006</v>
      </c>
      <c r="F21" s="27">
        <v>5217</v>
      </c>
      <c r="G21" s="71">
        <v>4.2000000000000003E-2</v>
      </c>
      <c r="H21" s="28">
        <v>0.79200000000000004</v>
      </c>
      <c r="J21" s="19">
        <v>14</v>
      </c>
      <c r="K21" s="43">
        <f t="shared" si="0"/>
        <v>10.631091576000001</v>
      </c>
      <c r="M21" s="19">
        <v>14</v>
      </c>
      <c r="N21" s="15"/>
      <c r="O21" s="21">
        <v>8997</v>
      </c>
      <c r="P21" s="21"/>
      <c r="Q21" s="21">
        <v>9691</v>
      </c>
      <c r="S21">
        <f t="shared" si="3"/>
        <v>613548</v>
      </c>
      <c r="T21" s="33">
        <v>14</v>
      </c>
      <c r="U21" s="34">
        <v>0.61299999999999999</v>
      </c>
      <c r="V21" s="1">
        <v>0.60499999999999998</v>
      </c>
      <c r="W21" s="34">
        <f t="shared" si="1"/>
        <v>0.60899999999999999</v>
      </c>
      <c r="X21" s="81">
        <f t="shared" si="4"/>
        <v>74594.000000000015</v>
      </c>
      <c r="Y21" s="1">
        <v>2014</v>
      </c>
      <c r="Z21" s="3">
        <v>113899</v>
      </c>
      <c r="AA21" s="60">
        <v>1436.595</v>
      </c>
      <c r="AB21" s="3">
        <v>12612.899454774983</v>
      </c>
      <c r="AC21" s="47">
        <v>56469.916666666672</v>
      </c>
      <c r="AD21" s="48">
        <v>25.44</v>
      </c>
      <c r="AF21" s="1">
        <v>2014</v>
      </c>
      <c r="AG21" s="49">
        <v>124680.609</v>
      </c>
      <c r="AH21" s="50">
        <v>1273.961</v>
      </c>
      <c r="AI21" s="51">
        <v>10217.79834264364</v>
      </c>
      <c r="AJ21" s="52">
        <v>69011.989165763807</v>
      </c>
      <c r="AK21" s="53">
        <v>18.46</v>
      </c>
      <c r="AM21" s="66">
        <f t="shared" si="2"/>
        <v>22.159400824037579</v>
      </c>
      <c r="AP21">
        <f>K21*Python_input_data!C16</f>
        <v>1.1726039649203801</v>
      </c>
    </row>
    <row r="22" spans="1:42" x14ac:dyDescent="0.3">
      <c r="A22" s="1" t="s">
        <v>26</v>
      </c>
      <c r="B22" s="5">
        <v>24457</v>
      </c>
      <c r="C22" s="42">
        <v>0.188</v>
      </c>
      <c r="D22" s="4">
        <v>1</v>
      </c>
      <c r="F22" s="29">
        <v>25917</v>
      </c>
      <c r="G22" s="72">
        <v>0.20799999999999999</v>
      </c>
      <c r="H22" s="28">
        <v>1</v>
      </c>
      <c r="J22" s="19">
        <v>15</v>
      </c>
      <c r="K22" s="43">
        <f>($Z$27+$AG$27)*G31/1000</f>
        <v>9.8717278920000009</v>
      </c>
      <c r="M22" s="19">
        <v>15</v>
      </c>
      <c r="N22" s="15"/>
      <c r="O22" s="21">
        <v>8629</v>
      </c>
      <c r="P22" s="21"/>
      <c r="Q22" s="21">
        <v>9239</v>
      </c>
      <c r="S22">
        <f t="shared" si="3"/>
        <v>536978.00000000012</v>
      </c>
      <c r="T22" s="33">
        <v>15</v>
      </c>
      <c r="U22" s="34">
        <v>0.51</v>
      </c>
      <c r="V22" s="1">
        <v>0.55300000000000005</v>
      </c>
      <c r="W22" s="34">
        <f t="shared" si="1"/>
        <v>0.53150000000000008</v>
      </c>
      <c r="X22" s="81">
        <f t="shared" si="4"/>
        <v>76569.999999999898</v>
      </c>
      <c r="Y22" s="1">
        <v>2015</v>
      </c>
      <c r="Z22" s="3">
        <v>112864</v>
      </c>
      <c r="AA22" s="60">
        <v>1445.4403600000001</v>
      </c>
      <c r="AB22" s="3">
        <v>12806.921250354409</v>
      </c>
      <c r="AC22" s="47">
        <v>55211.625668449204</v>
      </c>
      <c r="AD22" s="48">
        <v>26.18</v>
      </c>
      <c r="AF22" s="1">
        <v>2015</v>
      </c>
      <c r="AG22" s="49">
        <v>128552.549</v>
      </c>
      <c r="AH22" s="50">
        <v>1334.2526400000002</v>
      </c>
      <c r="AI22" s="51">
        <v>10379.044603775224</v>
      </c>
      <c r="AJ22" s="52">
        <v>70933.154704944187</v>
      </c>
      <c r="AK22" s="53">
        <v>18.809999999999999</v>
      </c>
      <c r="AM22" s="66">
        <f t="shared" si="2"/>
        <v>22.642399999999999</v>
      </c>
      <c r="AP22">
        <f>K22*Python_input_data!C17</f>
        <v>1.2562543704926095</v>
      </c>
    </row>
    <row r="23" spans="1:42" x14ac:dyDescent="0.3">
      <c r="B23" s="6">
        <v>130078</v>
      </c>
      <c r="C23" s="7">
        <v>1</v>
      </c>
      <c r="D23" s="8"/>
      <c r="F23" s="30">
        <v>124545</v>
      </c>
      <c r="G23" s="31">
        <v>1</v>
      </c>
      <c r="H23" s="8"/>
      <c r="J23" s="19">
        <v>16</v>
      </c>
      <c r="K23" s="43">
        <f t="shared" ref="K23:K37" si="5">($Z$27+$AG$27)*G32/1000</f>
        <v>8.0948168714400008</v>
      </c>
      <c r="M23" s="19">
        <v>16</v>
      </c>
      <c r="N23" s="15"/>
      <c r="O23" s="21">
        <v>8270</v>
      </c>
      <c r="P23" s="21"/>
      <c r="Q23" s="21">
        <v>8797</v>
      </c>
      <c r="S23">
        <f t="shared" si="3"/>
        <v>464854.00000000006</v>
      </c>
      <c r="T23" s="33">
        <v>16</v>
      </c>
      <c r="U23" s="34">
        <v>0.41499999999999998</v>
      </c>
      <c r="V23" s="1">
        <v>0.502</v>
      </c>
      <c r="W23" s="34">
        <f t="shared" si="1"/>
        <v>0.45850000000000002</v>
      </c>
      <c r="X23" s="81">
        <f t="shared" si="4"/>
        <v>72124.000000000058</v>
      </c>
      <c r="Y23" s="1">
        <v>2016</v>
      </c>
      <c r="Z23" s="3">
        <v>112961.266</v>
      </c>
      <c r="AA23" s="60">
        <v>1453.3562919751366</v>
      </c>
      <c r="AB23" s="3">
        <v>12865.97028732961</v>
      </c>
      <c r="AC23" s="47">
        <v>54247.909726999344</v>
      </c>
      <c r="AD23" s="48">
        <v>26.79101</v>
      </c>
      <c r="AF23" s="1">
        <v>2016</v>
      </c>
      <c r="AG23" s="49">
        <v>132715.671</v>
      </c>
      <c r="AH23" s="50">
        <v>1396.3619275839546</v>
      </c>
      <c r="AI23" s="51">
        <v>10521.454754080658</v>
      </c>
      <c r="AJ23" s="52">
        <v>73106.614673760152</v>
      </c>
      <c r="AK23" s="53">
        <v>19.100349999999999</v>
      </c>
      <c r="AM23" s="66">
        <f t="shared" si="2"/>
        <v>23.0225866</v>
      </c>
      <c r="AP23">
        <f>K23*Python_input_data!C18</f>
        <v>1.1117998713360686</v>
      </c>
    </row>
    <row r="24" spans="1:42" x14ac:dyDescent="0.3">
      <c r="B24" s="9"/>
      <c r="C24" s="8"/>
      <c r="D24" s="10"/>
      <c r="J24" s="19">
        <v>17</v>
      </c>
      <c r="K24" s="43">
        <f t="shared" si="5"/>
        <v>6.6377498345808004</v>
      </c>
      <c r="M24" s="19">
        <v>17</v>
      </c>
      <c r="N24" s="15"/>
      <c r="O24" s="21">
        <v>7922</v>
      </c>
      <c r="P24" s="21"/>
      <c r="Q24" s="21">
        <v>8383</v>
      </c>
      <c r="S24">
        <f t="shared" si="3"/>
        <v>399646.00000000006</v>
      </c>
      <c r="T24" s="33">
        <v>17</v>
      </c>
      <c r="U24" s="34">
        <v>0.33200000000000002</v>
      </c>
      <c r="V24" s="1">
        <v>0.45300000000000001</v>
      </c>
      <c r="W24" s="34">
        <f t="shared" si="1"/>
        <v>0.39250000000000002</v>
      </c>
      <c r="X24" s="81">
        <f t="shared" si="4"/>
        <v>65208</v>
      </c>
      <c r="Y24" s="1">
        <v>2017</v>
      </c>
      <c r="Z24" s="3">
        <v>111177.02899999999</v>
      </c>
      <c r="AA24" s="60">
        <v>1424.3021409058103</v>
      </c>
      <c r="AB24" s="3">
        <v>12811.118930924215</v>
      </c>
      <c r="AC24" s="47">
        <v>52267.968473607718</v>
      </c>
      <c r="AD24" s="48">
        <v>27.25</v>
      </c>
      <c r="AF24" s="1">
        <v>2017</v>
      </c>
      <c r="AG24" s="49">
        <v>137748.94699999999</v>
      </c>
      <c r="AH24" s="50">
        <v>1453.0759215301703</v>
      </c>
      <c r="AI24" s="51">
        <v>10548.726165799077</v>
      </c>
      <c r="AJ24" s="52">
        <v>73835.158614337925</v>
      </c>
      <c r="AK24" s="53">
        <v>19.68</v>
      </c>
      <c r="AM24" s="66">
        <f t="shared" si="2"/>
        <v>23.427150000000005</v>
      </c>
      <c r="AP24">
        <f>K24*Python_input_data!C19</f>
        <v>0.9554885258066147</v>
      </c>
    </row>
    <row r="25" spans="1:42" ht="15" thickBot="1" x14ac:dyDescent="0.35">
      <c r="B25" s="11"/>
      <c r="C25" s="12" t="s">
        <v>28</v>
      </c>
      <c r="D25" s="13"/>
      <c r="J25" s="19">
        <v>18</v>
      </c>
      <c r="K25" s="43">
        <f t="shared" si="5"/>
        <v>5.4429548643562562</v>
      </c>
      <c r="M25" s="19">
        <v>18</v>
      </c>
      <c r="N25" s="15"/>
      <c r="O25" s="21">
        <v>7586</v>
      </c>
      <c r="P25" s="21"/>
      <c r="Q25" s="21">
        <v>8009</v>
      </c>
      <c r="S25">
        <f t="shared" si="3"/>
        <v>341848</v>
      </c>
      <c r="T25" s="33">
        <v>18</v>
      </c>
      <c r="U25" s="34">
        <v>0.26100000000000001</v>
      </c>
      <c r="V25" s="1">
        <v>0.40699999999999997</v>
      </c>
      <c r="W25" s="34">
        <f t="shared" si="1"/>
        <v>0.33399999999999996</v>
      </c>
      <c r="X25" s="81">
        <f t="shared" si="4"/>
        <v>57798.000000000051</v>
      </c>
      <c r="Y25" s="1">
        <v>2018</v>
      </c>
      <c r="Z25" s="3">
        <v>111242.132</v>
      </c>
      <c r="AA25" s="60">
        <v>1419.5705965858056</v>
      </c>
      <c r="AB25" s="3">
        <v>12761.087647850956</v>
      </c>
      <c r="AC25" s="47">
        <v>51174.138305184053</v>
      </c>
      <c r="AD25" s="48">
        <v>27.74</v>
      </c>
      <c r="AF25" s="1">
        <v>2018</v>
      </c>
      <c r="AG25" s="3">
        <v>138356.59768852501</v>
      </c>
      <c r="AH25" s="46">
        <v>1477.5122535893079</v>
      </c>
      <c r="AI25" s="3">
        <v>10679.015516958245</v>
      </c>
      <c r="AJ25" s="47">
        <v>73801.810868596804</v>
      </c>
      <c r="AK25" s="48">
        <v>20.02</v>
      </c>
      <c r="AM25" s="66">
        <f t="shared" si="2"/>
        <v>23.802800000000001</v>
      </c>
      <c r="AP25">
        <f>K25*Python_input_data!C20</f>
        <v>0.81124295430532811</v>
      </c>
    </row>
    <row r="26" spans="1:42" ht="15" thickTop="1" x14ac:dyDescent="0.3">
      <c r="C26" t="s">
        <v>29</v>
      </c>
      <c r="J26" s="19">
        <v>19</v>
      </c>
      <c r="K26" s="43">
        <f t="shared" si="5"/>
        <v>4.4632229887721317</v>
      </c>
      <c r="M26" s="19">
        <v>19</v>
      </c>
      <c r="N26" s="15"/>
      <c r="O26" s="21">
        <v>7265</v>
      </c>
      <c r="P26" s="21"/>
      <c r="Q26" s="21">
        <v>7666</v>
      </c>
      <c r="S26">
        <f t="shared" si="3"/>
        <v>291954</v>
      </c>
      <c r="T26" s="33">
        <v>19</v>
      </c>
      <c r="U26" s="34">
        <v>0.20300000000000001</v>
      </c>
      <c r="V26" s="1">
        <v>0.36399999999999999</v>
      </c>
      <c r="W26" s="34">
        <f t="shared" si="1"/>
        <v>0.28349999999999997</v>
      </c>
      <c r="X26" s="81">
        <f t="shared" si="4"/>
        <v>49893.999999999993</v>
      </c>
      <c r="Y26" s="1">
        <v>2019</v>
      </c>
      <c r="Z26" s="3">
        <v>108547.710000885</v>
      </c>
      <c r="AA26" s="60">
        <v>1374.3050135721535</v>
      </c>
      <c r="AB26" s="3">
        <v>12660.838386742094</v>
      </c>
      <c r="AC26" s="47">
        <v>48579.180401984922</v>
      </c>
      <c r="AD26" s="48">
        <v>28.29</v>
      </c>
      <c r="AF26" s="1">
        <v>2019</v>
      </c>
      <c r="AG26" s="3">
        <v>143982.777707648</v>
      </c>
      <c r="AH26" s="46">
        <v>1549.7482067941307</v>
      </c>
      <c r="AI26" s="3">
        <v>10763.427622856674</v>
      </c>
      <c r="AJ26" s="47">
        <v>75856.495682532099</v>
      </c>
      <c r="AK26" s="48">
        <v>20.43</v>
      </c>
      <c r="AM26" s="66">
        <f t="shared" si="2"/>
        <v>24.124200000000002</v>
      </c>
      <c r="AP26">
        <f>K26*Python_input_data!C21</f>
        <v>0.67482862554788214</v>
      </c>
    </row>
    <row r="27" spans="1:42" x14ac:dyDescent="0.3">
      <c r="J27" s="19">
        <v>20</v>
      </c>
      <c r="K27" s="43">
        <f t="shared" si="5"/>
        <v>3.6598428507931478</v>
      </c>
      <c r="M27" s="19">
        <v>20</v>
      </c>
      <c r="N27" s="15"/>
      <c r="O27" s="21">
        <v>6962</v>
      </c>
      <c r="P27" s="21"/>
      <c r="Q27" s="21">
        <v>7358</v>
      </c>
      <c r="S27">
        <f t="shared" si="3"/>
        <v>249470</v>
      </c>
      <c r="T27" s="33">
        <v>20</v>
      </c>
      <c r="U27" s="34">
        <v>0.157</v>
      </c>
      <c r="V27" s="1">
        <v>0.32400000000000001</v>
      </c>
      <c r="W27" s="34">
        <f t="shared" si="1"/>
        <v>0.24049999999999999</v>
      </c>
      <c r="X27" s="81">
        <f t="shared" si="4"/>
        <v>42483.999999999985</v>
      </c>
      <c r="Y27" s="1">
        <v>2020</v>
      </c>
      <c r="Z27" s="3">
        <v>105143.99</v>
      </c>
      <c r="AA27" s="60">
        <v>1155.9353883876263</v>
      </c>
      <c r="AB27" s="3">
        <v>10993.83225220601</v>
      </c>
      <c r="AC27" s="47">
        <v>40459.761581646002</v>
      </c>
      <c r="AD27" s="48">
        <v>28.57</v>
      </c>
      <c r="AF27" s="1">
        <v>2020</v>
      </c>
      <c r="AG27" s="3">
        <v>147977.23800000001</v>
      </c>
      <c r="AH27" s="46">
        <v>1412.8099191404319</v>
      </c>
      <c r="AI27" s="3">
        <v>9547.4813439917816</v>
      </c>
      <c r="AJ27" s="47">
        <v>68054.427704259724</v>
      </c>
      <c r="AK27" s="48">
        <v>20.76</v>
      </c>
      <c r="AM27" s="66">
        <f t="shared" si="2"/>
        <v>24.2745</v>
      </c>
      <c r="AP27">
        <f>K27*Python_input_data!C22</f>
        <v>0.55510843945010691</v>
      </c>
    </row>
    <row r="28" spans="1:42" x14ac:dyDescent="0.3">
      <c r="J28" s="19">
        <v>21</v>
      </c>
      <c r="K28" s="43">
        <f t="shared" si="5"/>
        <v>3.0010711376503814</v>
      </c>
      <c r="M28" s="19">
        <v>21</v>
      </c>
      <c r="N28" s="15"/>
      <c r="O28" s="21">
        <v>6679</v>
      </c>
      <c r="P28" s="21"/>
      <c r="Q28" s="21">
        <v>7089</v>
      </c>
      <c r="S28">
        <f t="shared" si="3"/>
        <v>213408</v>
      </c>
      <c r="T28" s="33">
        <v>21</v>
      </c>
      <c r="U28" s="34">
        <v>0.12</v>
      </c>
      <c r="V28" s="1">
        <v>0.28799999999999998</v>
      </c>
      <c r="W28" s="34">
        <f t="shared" si="1"/>
        <v>0.20399999999999999</v>
      </c>
      <c r="X28" s="81">
        <f t="shared" si="4"/>
        <v>36062.000000000007</v>
      </c>
      <c r="AI28" s="1"/>
      <c r="AJ28" s="49"/>
      <c r="AK28" s="50"/>
    </row>
    <row r="29" spans="1:42" x14ac:dyDescent="0.3">
      <c r="J29" s="19">
        <v>22</v>
      </c>
      <c r="K29" s="43">
        <f t="shared" si="5"/>
        <v>2.460878332873313</v>
      </c>
      <c r="M29" s="19">
        <v>22</v>
      </c>
      <c r="N29" s="15"/>
      <c r="O29" s="21">
        <v>6416</v>
      </c>
      <c r="P29" s="21"/>
      <c r="Q29" s="21">
        <v>6862</v>
      </c>
      <c r="S29">
        <f t="shared" si="3"/>
        <v>183274</v>
      </c>
      <c r="T29" s="33">
        <v>22</v>
      </c>
      <c r="U29" s="34">
        <v>9.1999999999999998E-2</v>
      </c>
      <c r="V29" s="1">
        <v>0.255</v>
      </c>
      <c r="W29" s="34">
        <f t="shared" si="1"/>
        <v>0.17349999999999999</v>
      </c>
      <c r="X29" s="81">
        <f t="shared" si="4"/>
        <v>30134</v>
      </c>
      <c r="AI29" s="1"/>
      <c r="AJ29" s="49"/>
      <c r="AK29" s="50"/>
    </row>
    <row r="30" spans="1:42" x14ac:dyDescent="0.3">
      <c r="J30" s="19">
        <v>23</v>
      </c>
      <c r="K30" s="43">
        <f t="shared" si="5"/>
        <v>2.0179202329561168</v>
      </c>
      <c r="M30" s="19">
        <v>23</v>
      </c>
      <c r="N30" s="15"/>
      <c r="O30" s="21">
        <v>6177</v>
      </c>
      <c r="P30" s="21"/>
      <c r="Q30" s="21">
        <v>6684</v>
      </c>
      <c r="S30">
        <f t="shared" si="3"/>
        <v>157586.00000000003</v>
      </c>
      <c r="T30" s="33">
        <v>23</v>
      </c>
      <c r="U30" s="34">
        <v>7.0000000000000007E-2</v>
      </c>
      <c r="V30" s="1">
        <v>0.22500000000000001</v>
      </c>
      <c r="W30" s="34">
        <f t="shared" si="1"/>
        <v>0.14750000000000002</v>
      </c>
      <c r="X30" s="81">
        <f t="shared" si="4"/>
        <v>25687.999999999967</v>
      </c>
      <c r="AI30" s="1"/>
      <c r="AJ30" s="49"/>
      <c r="AK30" s="50"/>
    </row>
    <row r="31" spans="1:42" x14ac:dyDescent="0.3">
      <c r="A31">
        <v>15</v>
      </c>
      <c r="C31" s="73">
        <v>0.04</v>
      </c>
      <c r="G31" s="73">
        <v>3.9E-2</v>
      </c>
      <c r="J31" s="19">
        <v>24</v>
      </c>
      <c r="K31" s="43">
        <f t="shared" si="5"/>
        <v>1.6546945910240158</v>
      </c>
      <c r="M31" s="19">
        <v>24</v>
      </c>
      <c r="N31" s="15"/>
      <c r="O31" s="21">
        <v>5963</v>
      </c>
      <c r="P31" s="21"/>
      <c r="Q31" s="21">
        <v>6556</v>
      </c>
      <c r="S31">
        <f t="shared" si="3"/>
        <v>135850</v>
      </c>
      <c r="T31" s="33">
        <v>24</v>
      </c>
      <c r="U31" s="34">
        <v>5.2999999999999999E-2</v>
      </c>
      <c r="V31" s="1">
        <v>0.19800000000000001</v>
      </c>
      <c r="W31" s="34">
        <f t="shared" si="1"/>
        <v>0.1255</v>
      </c>
      <c r="X31" s="81">
        <f t="shared" si="4"/>
        <v>21736.000000000018</v>
      </c>
      <c r="AI31" s="1"/>
      <c r="AJ31" s="49"/>
      <c r="AK31" s="50"/>
    </row>
    <row r="32" spans="1:42" x14ac:dyDescent="0.3">
      <c r="A32">
        <v>16</v>
      </c>
      <c r="C32" s="75">
        <f>C31*(1-0.22)</f>
        <v>3.1200000000000002E-2</v>
      </c>
      <c r="G32" s="75">
        <f>G31*(1-0.18)</f>
        <v>3.1980000000000001E-2</v>
      </c>
      <c r="J32" s="19">
        <v>25</v>
      </c>
      <c r="K32" s="43">
        <f t="shared" si="5"/>
        <v>1.356849564639693</v>
      </c>
      <c r="M32" s="19">
        <v>25</v>
      </c>
      <c r="N32" s="15"/>
      <c r="O32" s="21">
        <v>5778</v>
      </c>
      <c r="P32" s="21"/>
      <c r="Q32" s="21">
        <v>6481</v>
      </c>
      <c r="S32">
        <f t="shared" si="3"/>
        <v>117572</v>
      </c>
      <c r="T32" s="33">
        <v>25</v>
      </c>
      <c r="U32" s="34">
        <v>0.04</v>
      </c>
      <c r="V32" s="1">
        <v>0.17399999999999999</v>
      </c>
      <c r="W32" s="34">
        <f t="shared" si="1"/>
        <v>0.107</v>
      </c>
      <c r="X32" s="81">
        <f t="shared" si="4"/>
        <v>18278.000000000004</v>
      </c>
      <c r="AI32" s="1"/>
      <c r="AJ32" s="49"/>
      <c r="AK32" s="50"/>
    </row>
    <row r="33" spans="1:37" x14ac:dyDescent="0.3">
      <c r="A33">
        <v>17</v>
      </c>
      <c r="C33" s="75">
        <f t="shared" ref="C33:C45" si="6">C32*(1-0.2)</f>
        <v>2.4960000000000003E-2</v>
      </c>
      <c r="G33" s="75">
        <f t="shared" ref="G33:G46" si="7">G32*(1-0.18)</f>
        <v>2.6223600000000003E-2</v>
      </c>
      <c r="J33" s="19">
        <v>26</v>
      </c>
      <c r="K33" s="43">
        <f t="shared" si="5"/>
        <v>1.1126166430045485</v>
      </c>
      <c r="M33" s="19">
        <v>26</v>
      </c>
      <c r="N33" s="15"/>
      <c r="O33" s="21">
        <v>5623</v>
      </c>
      <c r="P33" s="21"/>
      <c r="Q33" s="21">
        <v>6466</v>
      </c>
      <c r="S33">
        <f t="shared" si="3"/>
        <v>102258</v>
      </c>
      <c r="T33" s="33">
        <v>26</v>
      </c>
      <c r="U33" s="34">
        <v>0.03</v>
      </c>
      <c r="V33" s="1">
        <v>0.153</v>
      </c>
      <c r="W33" s="34">
        <f t="shared" si="1"/>
        <v>9.1499999999999998E-2</v>
      </c>
      <c r="X33" s="81">
        <f t="shared" si="4"/>
        <v>15314</v>
      </c>
      <c r="AI33" s="1"/>
      <c r="AJ33" s="49"/>
      <c r="AK33" s="50"/>
    </row>
    <row r="34" spans="1:37" x14ac:dyDescent="0.3">
      <c r="A34">
        <v>18</v>
      </c>
      <c r="C34" s="75">
        <f t="shared" si="6"/>
        <v>1.9968000000000003E-2</v>
      </c>
      <c r="G34" s="75">
        <f t="shared" si="7"/>
        <v>2.1503352000000003E-2</v>
      </c>
      <c r="J34" s="19">
        <v>27</v>
      </c>
      <c r="K34" s="43">
        <f t="shared" si="5"/>
        <v>0.91234564726372969</v>
      </c>
      <c r="M34" s="19">
        <v>27</v>
      </c>
      <c r="N34" s="15"/>
      <c r="O34" s="21">
        <v>5499</v>
      </c>
      <c r="P34" s="21"/>
      <c r="Q34" s="21">
        <v>6466</v>
      </c>
      <c r="S34">
        <f t="shared" si="3"/>
        <v>88920</v>
      </c>
      <c r="T34" s="33">
        <v>27</v>
      </c>
      <c r="U34" s="34">
        <v>2.3E-2</v>
      </c>
      <c r="V34" s="1">
        <v>0.13300000000000001</v>
      </c>
      <c r="W34" s="34">
        <f t="shared" si="1"/>
        <v>7.8E-2</v>
      </c>
      <c r="X34" s="81">
        <f t="shared" si="4"/>
        <v>13337.999999999998</v>
      </c>
      <c r="AI34" s="1"/>
      <c r="AJ34" s="49"/>
      <c r="AK34" s="50"/>
    </row>
    <row r="35" spans="1:37" x14ac:dyDescent="0.3">
      <c r="A35">
        <v>19</v>
      </c>
      <c r="C35" s="75">
        <f t="shared" si="6"/>
        <v>1.5974400000000003E-2</v>
      </c>
      <c r="G35" s="75">
        <f t="shared" si="7"/>
        <v>1.7632748640000005E-2</v>
      </c>
      <c r="J35" s="19">
        <v>28</v>
      </c>
      <c r="K35" s="43">
        <f t="shared" si="5"/>
        <v>0.74812343075625831</v>
      </c>
      <c r="M35" s="19">
        <v>28</v>
      </c>
      <c r="N35" s="15"/>
      <c r="O35" s="21">
        <v>5410</v>
      </c>
      <c r="P35" s="21"/>
      <c r="Q35" s="21">
        <v>6466</v>
      </c>
      <c r="S35">
        <f t="shared" si="3"/>
        <v>76076</v>
      </c>
      <c r="T35" s="33">
        <v>28</v>
      </c>
      <c r="U35" s="34">
        <v>1.2999999999999999E-2</v>
      </c>
      <c r="V35" s="1">
        <v>0.11700000000000001</v>
      </c>
      <c r="W35" s="34">
        <f t="shared" si="1"/>
        <v>6.5000000000000002E-2</v>
      </c>
      <c r="X35" s="81">
        <f t="shared" si="4"/>
        <v>12843.999999999998</v>
      </c>
      <c r="AI35" s="1"/>
      <c r="AJ35" s="49"/>
      <c r="AK35" s="50"/>
    </row>
    <row r="36" spans="1:37" x14ac:dyDescent="0.3">
      <c r="A36">
        <v>20</v>
      </c>
      <c r="C36" s="75">
        <f t="shared" si="6"/>
        <v>1.2779520000000003E-2</v>
      </c>
      <c r="G36" s="75">
        <f t="shared" si="7"/>
        <v>1.4458853884800005E-2</v>
      </c>
      <c r="J36" s="19">
        <v>29</v>
      </c>
      <c r="K36" s="43">
        <f t="shared" si="5"/>
        <v>0.61346121322013192</v>
      </c>
      <c r="M36" s="19">
        <v>29</v>
      </c>
      <c r="N36" s="15"/>
      <c r="O36" s="21">
        <v>5358</v>
      </c>
      <c r="P36" s="21"/>
      <c r="Q36" s="21">
        <v>6466</v>
      </c>
      <c r="S36">
        <f t="shared" si="3"/>
        <v>67184</v>
      </c>
      <c r="T36" s="33">
        <v>29</v>
      </c>
      <c r="U36" s="34">
        <v>0.01</v>
      </c>
      <c r="V36" s="1">
        <v>0.10199999999999999</v>
      </c>
      <c r="W36" s="34">
        <f t="shared" si="1"/>
        <v>5.5999999999999994E-2</v>
      </c>
      <c r="X36" s="81">
        <f t="shared" si="4"/>
        <v>8892.0000000000073</v>
      </c>
      <c r="AI36" s="1"/>
      <c r="AJ36" s="49"/>
      <c r="AK36" s="50"/>
    </row>
    <row r="37" spans="1:37" x14ac:dyDescent="0.3">
      <c r="A37">
        <v>21</v>
      </c>
      <c r="C37" s="75">
        <f t="shared" si="6"/>
        <v>1.0223616000000003E-2</v>
      </c>
      <c r="G37" s="75">
        <f t="shared" si="7"/>
        <v>1.1856260185536005E-2</v>
      </c>
      <c r="J37" s="22">
        <v>30</v>
      </c>
      <c r="K37" s="43">
        <f t="shared" si="5"/>
        <v>0.50303819484050816</v>
      </c>
      <c r="M37" s="22">
        <v>30</v>
      </c>
      <c r="N37" s="18"/>
      <c r="O37" s="23">
        <v>5358</v>
      </c>
      <c r="P37" s="23"/>
      <c r="Q37" s="23">
        <v>6466</v>
      </c>
      <c r="S37">
        <f t="shared" si="3"/>
        <v>59280.000000000007</v>
      </c>
      <c r="T37" s="33">
        <v>30</v>
      </c>
      <c r="U37" s="34">
        <v>7.0000000000000001E-3</v>
      </c>
      <c r="V37" s="1">
        <v>8.8999999999999996E-2</v>
      </c>
      <c r="W37" s="34">
        <f t="shared" si="1"/>
        <v>4.8000000000000001E-2</v>
      </c>
      <c r="X37" s="81">
        <f t="shared" si="4"/>
        <v>7903.9999999999936</v>
      </c>
    </row>
    <row r="38" spans="1:37" ht="15" thickBot="1" x14ac:dyDescent="0.35">
      <c r="A38">
        <v>22</v>
      </c>
      <c r="C38" s="75">
        <f t="shared" si="6"/>
        <v>8.1788928000000021E-3</v>
      </c>
      <c r="G38" s="75">
        <f t="shared" si="7"/>
        <v>9.722133352139525E-3</v>
      </c>
      <c r="M38" s="24" t="s">
        <v>16</v>
      </c>
      <c r="N38" s="25"/>
      <c r="O38" s="26">
        <v>278134</v>
      </c>
      <c r="P38" s="26"/>
      <c r="Q38" s="26">
        <v>310610</v>
      </c>
      <c r="S38">
        <f t="shared" si="3"/>
        <v>26182.000000000007</v>
      </c>
      <c r="T38" s="35">
        <v>31</v>
      </c>
      <c r="U38" s="36">
        <v>2E-3</v>
      </c>
      <c r="V38" s="37">
        <v>2.7E-2</v>
      </c>
      <c r="W38" s="34">
        <f t="shared" si="1"/>
        <v>1.4499999999999999E-2</v>
      </c>
      <c r="X38" s="81">
        <f t="shared" si="4"/>
        <v>33098</v>
      </c>
    </row>
    <row r="39" spans="1:37" x14ac:dyDescent="0.3">
      <c r="A39">
        <v>23</v>
      </c>
      <c r="C39" s="75">
        <f t="shared" si="6"/>
        <v>6.5431142400000017E-3</v>
      </c>
      <c r="G39" s="75">
        <f t="shared" si="7"/>
        <v>7.9721493487544103E-3</v>
      </c>
      <c r="J39" t="s">
        <v>50</v>
      </c>
      <c r="K39" s="76">
        <f>SUM(K7:K37)</f>
        <v>253.27644809417106</v>
      </c>
    </row>
    <row r="40" spans="1:37" x14ac:dyDescent="0.3">
      <c r="A40">
        <v>24</v>
      </c>
      <c r="C40" s="75">
        <f t="shared" si="6"/>
        <v>5.2344913920000019E-3</v>
      </c>
      <c r="G40" s="75">
        <f t="shared" si="7"/>
        <v>6.5371624659786168E-3</v>
      </c>
      <c r="J40" t="s">
        <v>51</v>
      </c>
      <c r="K40" s="77">
        <f>($Z$27+$AG$27)/1000</f>
        <v>253.121228</v>
      </c>
    </row>
    <row r="41" spans="1:37" x14ac:dyDescent="0.3">
      <c r="A41">
        <v>25</v>
      </c>
      <c r="C41" s="75">
        <f t="shared" si="6"/>
        <v>4.1875931136000017E-3</v>
      </c>
      <c r="G41" s="75">
        <f t="shared" si="7"/>
        <v>5.3604732221024659E-3</v>
      </c>
    </row>
    <row r="42" spans="1:37" x14ac:dyDescent="0.3">
      <c r="A42">
        <v>26</v>
      </c>
      <c r="C42" s="75">
        <f t="shared" si="6"/>
        <v>3.3500744908800013E-3</v>
      </c>
      <c r="G42" s="75">
        <f t="shared" si="7"/>
        <v>4.3955880421240228E-3</v>
      </c>
    </row>
    <row r="43" spans="1:37" x14ac:dyDescent="0.3">
      <c r="A43">
        <v>27</v>
      </c>
      <c r="C43" s="75">
        <f t="shared" si="6"/>
        <v>2.6800595927040012E-3</v>
      </c>
      <c r="G43" s="75">
        <f t="shared" si="7"/>
        <v>3.6043821945416989E-3</v>
      </c>
    </row>
    <row r="44" spans="1:37" x14ac:dyDescent="0.3">
      <c r="A44">
        <v>28</v>
      </c>
      <c r="C44" s="75">
        <f t="shared" si="6"/>
        <v>2.144047674163201E-3</v>
      </c>
      <c r="G44" s="75">
        <f t="shared" si="7"/>
        <v>2.9555933995241931E-3</v>
      </c>
    </row>
    <row r="45" spans="1:37" x14ac:dyDescent="0.3">
      <c r="A45">
        <v>29</v>
      </c>
      <c r="C45" s="75">
        <f t="shared" si="6"/>
        <v>1.715238139330561E-3</v>
      </c>
      <c r="G45" s="75">
        <f t="shared" si="7"/>
        <v>2.4235865876098385E-3</v>
      </c>
    </row>
    <row r="46" spans="1:37" x14ac:dyDescent="0.3">
      <c r="A46">
        <v>30</v>
      </c>
      <c r="C46" s="74">
        <v>0</v>
      </c>
      <c r="G46" s="75">
        <f t="shared" si="7"/>
        <v>1.9873410018400677E-3</v>
      </c>
    </row>
    <row r="48" spans="1:37" x14ac:dyDescent="0.3">
      <c r="C48" s="73">
        <f>SUM(C31:C46)</f>
        <v>0.18913904744267779</v>
      </c>
    </row>
  </sheetData>
  <mergeCells count="7">
    <mergeCell ref="B4:D4"/>
    <mergeCell ref="F4:H4"/>
    <mergeCell ref="Y2:AD2"/>
    <mergeCell ref="Y3:AD3"/>
    <mergeCell ref="Y5:Y6"/>
    <mergeCell ref="Z5:Z6"/>
    <mergeCell ref="AA5:AA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6684-8D6B-491A-9986-57F94280851B}">
  <dimension ref="A1:AF32"/>
  <sheetViews>
    <sheetView topLeftCell="Q1" workbookViewId="0">
      <selection activeCell="M1" sqref="M1:R32"/>
    </sheetView>
  </sheetViews>
  <sheetFormatPr defaultRowHeight="14.4" x14ac:dyDescent="0.3"/>
  <cols>
    <col min="12" max="12" width="4.109375" style="78" customWidth="1"/>
    <col min="21" max="25" width="10" customWidth="1"/>
    <col min="27" max="27" width="12.21875" customWidth="1"/>
    <col min="28" max="28" width="11.109375" bestFit="1" customWidth="1"/>
  </cols>
  <sheetData>
    <row r="1" spans="1:32" x14ac:dyDescent="0.3">
      <c r="A1" t="s">
        <v>57</v>
      </c>
      <c r="B1" t="s">
        <v>33</v>
      </c>
      <c r="C1" t="s">
        <v>58</v>
      </c>
      <c r="D1" t="s">
        <v>57</v>
      </c>
      <c r="E1" t="s">
        <v>58</v>
      </c>
      <c r="G1" t="s">
        <v>58</v>
      </c>
      <c r="I1" t="s">
        <v>58</v>
      </c>
      <c r="K1" t="s">
        <v>58</v>
      </c>
      <c r="M1" t="s">
        <v>33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T1" t="s">
        <v>33</v>
      </c>
      <c r="U1" t="s">
        <v>60</v>
      </c>
      <c r="V1" t="s">
        <v>59</v>
      </c>
      <c r="W1" t="s">
        <v>61</v>
      </c>
      <c r="X1" t="s">
        <v>62</v>
      </c>
      <c r="Y1" t="s">
        <v>63</v>
      </c>
      <c r="AA1" t="s">
        <v>33</v>
      </c>
      <c r="AB1" t="s">
        <v>60</v>
      </c>
      <c r="AC1" t="s">
        <v>59</v>
      </c>
      <c r="AD1" t="s">
        <v>61</v>
      </c>
      <c r="AE1" t="s">
        <v>62</v>
      </c>
      <c r="AF1" t="s">
        <v>63</v>
      </c>
    </row>
    <row r="2" spans="1:32" x14ac:dyDescent="0.3">
      <c r="A2" t="s">
        <v>60</v>
      </c>
      <c r="B2">
        <v>2020</v>
      </c>
      <c r="C2">
        <v>335388.2</v>
      </c>
      <c r="D2" t="s">
        <v>59</v>
      </c>
      <c r="E2">
        <v>335388.2</v>
      </c>
      <c r="F2" t="s">
        <v>61</v>
      </c>
      <c r="G2">
        <v>335388.2</v>
      </c>
      <c r="H2" t="s">
        <v>62</v>
      </c>
      <c r="I2">
        <v>335388.2</v>
      </c>
      <c r="J2" t="s">
        <v>63</v>
      </c>
      <c r="K2">
        <v>335388.2</v>
      </c>
      <c r="M2">
        <v>2020</v>
      </c>
      <c r="N2" s="43">
        <f>C2/1000</f>
        <v>335.38819999999998</v>
      </c>
      <c r="O2" s="43">
        <f>E2/1000</f>
        <v>335.38819999999998</v>
      </c>
      <c r="P2" s="43">
        <f>G2/1000</f>
        <v>335.38819999999998</v>
      </c>
      <c r="Q2" s="43">
        <f>I2/1000</f>
        <v>335.38819999999998</v>
      </c>
      <c r="R2" s="43">
        <f>K2/1000</f>
        <v>335.38819999999998</v>
      </c>
      <c r="T2">
        <v>2020</v>
      </c>
      <c r="U2" s="76">
        <f>U12/1000</f>
        <v>17.156081999999998</v>
      </c>
      <c r="V2" s="76">
        <f t="shared" ref="V2:Y2" si="0">V12/1000</f>
        <v>17.032556</v>
      </c>
      <c r="W2" s="76">
        <f t="shared" si="0"/>
        <v>16.642448000000002</v>
      </c>
      <c r="X2" s="76">
        <f t="shared" si="0"/>
        <v>16.972432000000001</v>
      </c>
      <c r="Y2" s="76">
        <f t="shared" si="0"/>
        <v>17.514175999999999</v>
      </c>
      <c r="AA2">
        <v>2020</v>
      </c>
      <c r="AB2" s="83">
        <f>U2/N2*1000000</f>
        <v>51152.90877854378</v>
      </c>
      <c r="AC2" s="83">
        <f t="shared" ref="AC2:AF2" si="1">V2/O2*1000000</f>
        <v>50784.601247151812</v>
      </c>
      <c r="AD2" s="83">
        <f t="shared" si="1"/>
        <v>49621.447623977234</v>
      </c>
      <c r="AE2" s="83">
        <f t="shared" si="1"/>
        <v>50605.334355830055</v>
      </c>
      <c r="AF2" s="83">
        <f t="shared" si="1"/>
        <v>52220.608834777129</v>
      </c>
    </row>
    <row r="3" spans="1:32" x14ac:dyDescent="0.3">
      <c r="A3" t="s">
        <v>60</v>
      </c>
      <c r="B3">
        <v>2025</v>
      </c>
      <c r="C3">
        <v>342062</v>
      </c>
      <c r="D3" t="s">
        <v>59</v>
      </c>
      <c r="E3">
        <v>342011</v>
      </c>
      <c r="F3" t="s">
        <v>61</v>
      </c>
      <c r="G3">
        <v>340622.6</v>
      </c>
      <c r="H3" t="s">
        <v>62</v>
      </c>
      <c r="I3">
        <v>341187</v>
      </c>
      <c r="J3" t="s">
        <v>63</v>
      </c>
      <c r="K3">
        <v>345660.2</v>
      </c>
      <c r="M3">
        <v>2021</v>
      </c>
      <c r="N3" t="s">
        <v>79</v>
      </c>
      <c r="O3" t="s">
        <v>79</v>
      </c>
      <c r="P3" t="s">
        <v>79</v>
      </c>
      <c r="Q3" t="s">
        <v>79</v>
      </c>
      <c r="R3" t="s">
        <v>79</v>
      </c>
      <c r="T3">
        <v>2025</v>
      </c>
      <c r="U3" s="76">
        <f t="shared" ref="U3:Y8" si="2">U13/1000</f>
        <v>19.536270000000002</v>
      </c>
      <c r="V3" s="76">
        <f t="shared" si="2"/>
        <v>19.086818999999998</v>
      </c>
      <c r="W3" s="76">
        <f t="shared" si="2"/>
        <v>18.224426000000001</v>
      </c>
      <c r="X3" s="76">
        <f t="shared" si="2"/>
        <v>19.249427000000001</v>
      </c>
      <c r="Y3" s="76">
        <f t="shared" si="2"/>
        <v>20.524255</v>
      </c>
      <c r="AA3">
        <v>2025</v>
      </c>
      <c r="AB3" s="83">
        <f>U3/N7*1000000</f>
        <v>57113.242628529333</v>
      </c>
      <c r="AC3" s="83">
        <f>V3/O7*1000000</f>
        <v>55807.6172988588</v>
      </c>
      <c r="AD3" s="83">
        <f>W3/P7*1000000</f>
        <v>53503.278995580455</v>
      </c>
      <c r="AE3" s="83">
        <f>X3/Q7*1000000</f>
        <v>56418.993103488705</v>
      </c>
      <c r="AF3" s="83">
        <f>Y3/R7*1000000</f>
        <v>59376.9690580518</v>
      </c>
    </row>
    <row r="4" spans="1:32" x14ac:dyDescent="0.3">
      <c r="A4" t="s">
        <v>60</v>
      </c>
      <c r="B4">
        <v>2030</v>
      </c>
      <c r="C4">
        <v>349790.9</v>
      </c>
      <c r="D4" t="s">
        <v>59</v>
      </c>
      <c r="E4">
        <v>349708.5</v>
      </c>
      <c r="F4" t="s">
        <v>61</v>
      </c>
      <c r="G4">
        <v>347240.2</v>
      </c>
      <c r="H4" t="s">
        <v>62</v>
      </c>
      <c r="I4">
        <v>347207.6</v>
      </c>
      <c r="J4" t="s">
        <v>63</v>
      </c>
      <c r="K4">
        <v>357460.5</v>
      </c>
      <c r="M4">
        <v>2022</v>
      </c>
      <c r="N4" t="s">
        <v>79</v>
      </c>
      <c r="O4" t="s">
        <v>79</v>
      </c>
      <c r="P4" t="s">
        <v>79</v>
      </c>
      <c r="Q4" t="s">
        <v>79</v>
      </c>
      <c r="R4" t="s">
        <v>79</v>
      </c>
      <c r="T4">
        <v>2030</v>
      </c>
      <c r="U4" s="76">
        <f t="shared" si="2"/>
        <v>21.979945000000001</v>
      </c>
      <c r="V4" s="76">
        <f t="shared" si="2"/>
        <v>20.965923999999998</v>
      </c>
      <c r="W4" s="76">
        <f t="shared" si="2"/>
        <v>19.477084999999999</v>
      </c>
      <c r="X4" s="76">
        <f t="shared" si="2"/>
        <v>21.559684000000001</v>
      </c>
      <c r="Y4" s="76">
        <f t="shared" si="2"/>
        <v>23.990206999999998</v>
      </c>
      <c r="AA4">
        <v>2030</v>
      </c>
      <c r="AB4" s="83">
        <f>U4/N12*1000000</f>
        <v>62837.383705522363</v>
      </c>
      <c r="AC4" s="83">
        <f>V4/O12*1000000</f>
        <v>59952.571927762685</v>
      </c>
      <c r="AD4" s="83">
        <f>W4/P12*1000000</f>
        <v>56091.100627173924</v>
      </c>
      <c r="AE4" s="83">
        <f>X4/Q12*1000000</f>
        <v>62094.504843787996</v>
      </c>
      <c r="AF4" s="83">
        <f>Y4/R12*1000000</f>
        <v>67112.889396171042</v>
      </c>
    </row>
    <row r="5" spans="1:32" x14ac:dyDescent="0.3">
      <c r="A5" t="s">
        <v>60</v>
      </c>
      <c r="B5">
        <v>2035</v>
      </c>
      <c r="C5">
        <v>357289.5</v>
      </c>
      <c r="D5" t="s">
        <v>59</v>
      </c>
      <c r="E5">
        <v>357256.2</v>
      </c>
      <c r="F5" t="s">
        <v>61</v>
      </c>
      <c r="G5">
        <v>354018.2</v>
      </c>
      <c r="H5" t="s">
        <v>62</v>
      </c>
      <c r="I5">
        <v>352054.1</v>
      </c>
      <c r="J5" t="s">
        <v>63</v>
      </c>
      <c r="K5">
        <v>369492.9</v>
      </c>
      <c r="M5">
        <v>2023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T5">
        <v>2035</v>
      </c>
      <c r="U5" s="76">
        <f t="shared" si="2"/>
        <v>24.428262999999998</v>
      </c>
      <c r="V5" s="76">
        <f t="shared" si="2"/>
        <v>22.688693000000001</v>
      </c>
      <c r="W5" s="76">
        <f t="shared" si="2"/>
        <v>20.484660999999999</v>
      </c>
      <c r="X5" s="76">
        <f t="shared" si="2"/>
        <v>23.821415000000002</v>
      </c>
      <c r="Y5" s="76">
        <f t="shared" si="2"/>
        <v>27.793541000000001</v>
      </c>
      <c r="AA5">
        <v>2035</v>
      </c>
      <c r="AB5" s="83">
        <f>U5/N17*1000000</f>
        <v>68371.063241433061</v>
      </c>
      <c r="AC5" s="83">
        <f>V5/O17*1000000</f>
        <v>63508.185442268034</v>
      </c>
      <c r="AD5" s="83">
        <f>W5/P17*1000000</f>
        <v>57863.299118519892</v>
      </c>
      <c r="AE5" s="83">
        <f>X5/Q17*1000000</f>
        <v>67664.074924848217</v>
      </c>
      <c r="AF5" s="83">
        <f>Y5/R17*1000000</f>
        <v>75220.771495203284</v>
      </c>
    </row>
    <row r="6" spans="1:32" x14ac:dyDescent="0.3">
      <c r="A6" t="s">
        <v>60</v>
      </c>
      <c r="B6">
        <v>2040</v>
      </c>
      <c r="C6">
        <v>364160.5</v>
      </c>
      <c r="D6" t="s">
        <v>59</v>
      </c>
      <c r="E6">
        <v>364364.79999999999</v>
      </c>
      <c r="F6" t="s">
        <v>61</v>
      </c>
      <c r="G6">
        <v>360775.3</v>
      </c>
      <c r="H6" t="s">
        <v>62</v>
      </c>
      <c r="I6">
        <v>355359.6</v>
      </c>
      <c r="J6" t="s">
        <v>63</v>
      </c>
      <c r="K6">
        <v>381278</v>
      </c>
      <c r="M6">
        <v>2024</v>
      </c>
      <c r="N6" t="s">
        <v>79</v>
      </c>
      <c r="O6" t="s">
        <v>79</v>
      </c>
      <c r="P6" t="s">
        <v>79</v>
      </c>
      <c r="Q6" t="s">
        <v>79</v>
      </c>
      <c r="R6" t="s">
        <v>79</v>
      </c>
      <c r="T6">
        <v>2040</v>
      </c>
      <c r="U6" s="76">
        <f t="shared" si="2"/>
        <v>26.777919999999998</v>
      </c>
      <c r="V6" s="76">
        <f t="shared" si="2"/>
        <v>24.320366999999997</v>
      </c>
      <c r="W6" s="76">
        <f t="shared" si="2"/>
        <v>21.325098999999998</v>
      </c>
      <c r="X6" s="76">
        <f t="shared" si="2"/>
        <v>25.898885999999997</v>
      </c>
      <c r="Y6" s="76">
        <f t="shared" si="2"/>
        <v>31.738969000000001</v>
      </c>
      <c r="AA6">
        <v>2040</v>
      </c>
      <c r="AB6" s="83">
        <f>U6/N22*1000000</f>
        <v>73533.29095275297</v>
      </c>
      <c r="AC6" s="83">
        <f>V6/O22*1000000</f>
        <v>66747.30105652356</v>
      </c>
      <c r="AD6" s="83">
        <f>W6/P22*1000000</f>
        <v>59109.088122163565</v>
      </c>
      <c r="AE6" s="83">
        <f>X6/Q22*1000000</f>
        <v>72880.783296694382</v>
      </c>
      <c r="AF6" s="83">
        <f>Y6/R22*1000000</f>
        <v>83243.641122750327</v>
      </c>
    </row>
    <row r="7" spans="1:32" x14ac:dyDescent="0.3">
      <c r="A7" t="s">
        <v>60</v>
      </c>
      <c r="B7">
        <v>2045</v>
      </c>
      <c r="C7">
        <v>370462</v>
      </c>
      <c r="D7" t="s">
        <v>59</v>
      </c>
      <c r="E7">
        <v>370894.9</v>
      </c>
      <c r="F7" t="s">
        <v>61</v>
      </c>
      <c r="G7">
        <v>366857.7</v>
      </c>
      <c r="H7" t="s">
        <v>62</v>
      </c>
      <c r="I7">
        <v>357695.8</v>
      </c>
      <c r="J7" t="s">
        <v>63</v>
      </c>
      <c r="K7">
        <v>392805.2</v>
      </c>
      <c r="M7">
        <v>2025</v>
      </c>
      <c r="N7" s="43">
        <f>C3/1000</f>
        <v>342.06200000000001</v>
      </c>
      <c r="O7" s="43">
        <f>E3/1000</f>
        <v>342.01100000000002</v>
      </c>
      <c r="P7" s="43">
        <f>G3/1000</f>
        <v>340.62259999999998</v>
      </c>
      <c r="Q7" s="43">
        <f>I3/1000</f>
        <v>341.18700000000001</v>
      </c>
      <c r="R7" s="43">
        <f>K3/1000</f>
        <v>345.66020000000003</v>
      </c>
      <c r="T7">
        <v>2045</v>
      </c>
      <c r="U7" s="76">
        <f t="shared" si="2"/>
        <v>28.990583999999998</v>
      </c>
      <c r="V7" s="76">
        <f t="shared" si="2"/>
        <v>25.861447000000002</v>
      </c>
      <c r="W7" s="76">
        <f t="shared" si="2"/>
        <v>22.008293000000002</v>
      </c>
      <c r="X7" s="76">
        <f t="shared" si="2"/>
        <v>27.779906999999998</v>
      </c>
      <c r="Y7" s="76">
        <f t="shared" si="2"/>
        <v>35.907430999999995</v>
      </c>
      <c r="AA7">
        <v>2045</v>
      </c>
      <c r="AB7" s="83">
        <f>U7/N27*1000000</f>
        <v>78255.216459447925</v>
      </c>
      <c r="AC7" s="83">
        <f>V7/O27*1000000</f>
        <v>69727.157208147109</v>
      </c>
      <c r="AD7" s="83">
        <f>W7/P27*1000000</f>
        <v>59991.361773243414</v>
      </c>
      <c r="AE7" s="83">
        <f>X7/Q27*1000000</f>
        <v>77663.497866063844</v>
      </c>
      <c r="AF7" s="83">
        <f>Y7/R27*1000000</f>
        <v>91412.819891386345</v>
      </c>
    </row>
    <row r="8" spans="1:32" x14ac:dyDescent="0.3">
      <c r="A8" t="s">
        <v>60</v>
      </c>
      <c r="B8">
        <v>2050</v>
      </c>
      <c r="C8">
        <v>376146.5</v>
      </c>
      <c r="D8" t="s">
        <v>59</v>
      </c>
      <c r="E8">
        <v>377025.1</v>
      </c>
      <c r="F8" t="s">
        <v>61</v>
      </c>
      <c r="G8">
        <v>372819.4</v>
      </c>
      <c r="H8" t="s">
        <v>62</v>
      </c>
      <c r="I8">
        <v>359142.1</v>
      </c>
      <c r="J8" t="s">
        <v>63</v>
      </c>
      <c r="K8">
        <v>403943</v>
      </c>
      <c r="M8">
        <v>2026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T8">
        <v>2050</v>
      </c>
      <c r="U8" s="76">
        <f t="shared" si="2"/>
        <v>31.007587000000001</v>
      </c>
      <c r="V8" s="76">
        <f t="shared" si="2"/>
        <v>27.281869999999998</v>
      </c>
      <c r="W8" s="76">
        <f t="shared" si="2"/>
        <v>22.472579000000003</v>
      </c>
      <c r="X8" s="76">
        <f t="shared" si="2"/>
        <v>29.446673000000001</v>
      </c>
      <c r="Y8" s="76">
        <f t="shared" si="2"/>
        <v>40.312784000000001</v>
      </c>
      <c r="AA8">
        <v>2050</v>
      </c>
      <c r="AB8" s="83">
        <f>U8/N32*1000000</f>
        <v>82434.867797520375</v>
      </c>
      <c r="AC8" s="83">
        <f>V8/O32*1000000</f>
        <v>72360.88525671103</v>
      </c>
      <c r="AD8" s="83">
        <f>W8/P32*1000000</f>
        <v>60277.386316270029</v>
      </c>
      <c r="AE8" s="83">
        <f>X8/Q32*1000000</f>
        <v>81991.704676227047</v>
      </c>
      <c r="AF8" s="83">
        <f>Y8/R32*1000000</f>
        <v>99798.199250884412</v>
      </c>
    </row>
    <row r="9" spans="1:32" x14ac:dyDescent="0.3">
      <c r="A9" t="s">
        <v>52</v>
      </c>
      <c r="M9">
        <v>2027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</row>
    <row r="10" spans="1:32" ht="28.8" x14ac:dyDescent="0.3">
      <c r="A10" t="s">
        <v>53</v>
      </c>
      <c r="M10">
        <v>2028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T10" t="s">
        <v>64</v>
      </c>
      <c r="V10" s="82" t="s">
        <v>65</v>
      </c>
      <c r="AA10" s="84" t="s">
        <v>68</v>
      </c>
      <c r="AB10" s="80" t="s">
        <v>69</v>
      </c>
    </row>
    <row r="11" spans="1:32" x14ac:dyDescent="0.3">
      <c r="M11">
        <v>2029</v>
      </c>
      <c r="N11" t="s">
        <v>79</v>
      </c>
      <c r="O11" t="s">
        <v>79</v>
      </c>
      <c r="P11" t="s">
        <v>79</v>
      </c>
      <c r="Q11" t="s">
        <v>79</v>
      </c>
      <c r="R11" t="s">
        <v>79</v>
      </c>
      <c r="T11" s="79" t="s">
        <v>57</v>
      </c>
      <c r="U11" s="80" t="s">
        <v>60</v>
      </c>
      <c r="V11" s="80" t="s">
        <v>59</v>
      </c>
      <c r="W11" s="80" t="s">
        <v>61</v>
      </c>
      <c r="X11" s="80" t="s">
        <v>62</v>
      </c>
      <c r="Y11" s="80" t="s">
        <v>63</v>
      </c>
    </row>
    <row r="12" spans="1:32" x14ac:dyDescent="0.3">
      <c r="M12">
        <v>2030</v>
      </c>
      <c r="N12" s="43">
        <f>C4/1000</f>
        <v>349.79090000000002</v>
      </c>
      <c r="O12" s="43">
        <f>E4/1000</f>
        <v>349.70850000000002</v>
      </c>
      <c r="P12" s="43">
        <f>G4/1000</f>
        <v>347.24020000000002</v>
      </c>
      <c r="Q12" s="43">
        <f>I4/1000</f>
        <v>347.20759999999996</v>
      </c>
      <c r="R12" s="43">
        <f>K4/1000</f>
        <v>357.46050000000002</v>
      </c>
      <c r="T12" s="79">
        <v>2020</v>
      </c>
      <c r="U12" s="81">
        <v>17156.081999999999</v>
      </c>
      <c r="V12" s="81">
        <v>17032.556</v>
      </c>
      <c r="W12" s="81">
        <v>16642.448</v>
      </c>
      <c r="X12" s="81">
        <v>16972.432000000001</v>
      </c>
      <c r="Y12" s="81">
        <v>17514.175999999999</v>
      </c>
    </row>
    <row r="13" spans="1:32" x14ac:dyDescent="0.3">
      <c r="A13" t="s">
        <v>54</v>
      </c>
      <c r="M13">
        <v>2031</v>
      </c>
      <c r="N13" t="s">
        <v>79</v>
      </c>
      <c r="O13" t="s">
        <v>79</v>
      </c>
      <c r="P13" t="s">
        <v>79</v>
      </c>
      <c r="Q13" t="s">
        <v>79</v>
      </c>
      <c r="R13" t="s">
        <v>79</v>
      </c>
      <c r="T13" s="79">
        <v>2025</v>
      </c>
      <c r="U13" s="81">
        <v>19536.27</v>
      </c>
      <c r="V13" s="81">
        <v>19086.819</v>
      </c>
      <c r="W13" s="81">
        <v>18224.425999999999</v>
      </c>
      <c r="X13" s="81">
        <v>19249.427</v>
      </c>
      <c r="Y13" s="81">
        <v>20524.255000000001</v>
      </c>
    </row>
    <row r="14" spans="1:32" x14ac:dyDescent="0.3">
      <c r="A14" t="s">
        <v>55</v>
      </c>
      <c r="M14">
        <v>2032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T14" s="79">
        <v>2030</v>
      </c>
      <c r="U14" s="81">
        <v>21979.945</v>
      </c>
      <c r="V14" s="81">
        <v>20965.923999999999</v>
      </c>
      <c r="W14" s="81">
        <v>19477.084999999999</v>
      </c>
      <c r="X14" s="81">
        <v>21559.684000000001</v>
      </c>
      <c r="Y14" s="81">
        <v>23990.206999999999</v>
      </c>
    </row>
    <row r="15" spans="1:32" x14ac:dyDescent="0.3">
      <c r="A15" t="s">
        <v>56</v>
      </c>
      <c r="M15">
        <v>2033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T15" s="79">
        <v>2035</v>
      </c>
      <c r="U15" s="81">
        <v>24428.262999999999</v>
      </c>
      <c r="V15" s="81">
        <v>22688.692999999999</v>
      </c>
      <c r="W15" s="81">
        <v>20484.661</v>
      </c>
      <c r="X15" s="81">
        <v>23821.415000000001</v>
      </c>
      <c r="Y15" s="81">
        <v>27793.541000000001</v>
      </c>
    </row>
    <row r="16" spans="1:32" x14ac:dyDescent="0.3">
      <c r="M16">
        <v>2034</v>
      </c>
      <c r="N16" t="s">
        <v>79</v>
      </c>
      <c r="O16" t="s">
        <v>79</v>
      </c>
      <c r="P16" t="s">
        <v>79</v>
      </c>
      <c r="Q16" t="s">
        <v>79</v>
      </c>
      <c r="R16" t="s">
        <v>79</v>
      </c>
      <c r="T16" s="79">
        <v>2040</v>
      </c>
      <c r="U16" s="81">
        <v>26777.919999999998</v>
      </c>
      <c r="V16" s="81">
        <v>24320.366999999998</v>
      </c>
      <c r="W16" s="81">
        <v>21325.098999999998</v>
      </c>
      <c r="X16" s="81">
        <v>25898.885999999999</v>
      </c>
      <c r="Y16" s="81">
        <v>31738.969000000001</v>
      </c>
    </row>
    <row r="17" spans="13:25" x14ac:dyDescent="0.3">
      <c r="M17">
        <v>2035</v>
      </c>
      <c r="N17" s="43">
        <f>C5/1000</f>
        <v>357.28949999999998</v>
      </c>
      <c r="O17" s="43">
        <f>E5/1000</f>
        <v>357.25620000000004</v>
      </c>
      <c r="P17" s="43">
        <f>G5/1000</f>
        <v>354.01820000000004</v>
      </c>
      <c r="Q17" s="43">
        <f>I5/1000</f>
        <v>352.05409999999995</v>
      </c>
      <c r="R17" s="43">
        <f>K5/1000</f>
        <v>369.49290000000002</v>
      </c>
      <c r="T17" s="79">
        <v>2045</v>
      </c>
      <c r="U17" s="81">
        <v>28990.583999999999</v>
      </c>
      <c r="V17" s="81">
        <v>25861.447</v>
      </c>
      <c r="W17" s="81">
        <v>22008.293000000001</v>
      </c>
      <c r="X17" s="81">
        <v>27779.906999999999</v>
      </c>
      <c r="Y17" s="81">
        <v>35907.430999999997</v>
      </c>
    </row>
    <row r="18" spans="13:25" x14ac:dyDescent="0.3">
      <c r="M18">
        <v>2036</v>
      </c>
      <c r="N18" t="s">
        <v>79</v>
      </c>
      <c r="O18" t="s">
        <v>79</v>
      </c>
      <c r="P18" t="s">
        <v>79</v>
      </c>
      <c r="Q18" t="s">
        <v>79</v>
      </c>
      <c r="R18" t="s">
        <v>79</v>
      </c>
      <c r="T18" s="79">
        <v>2050</v>
      </c>
      <c r="U18" s="81">
        <v>31007.587</v>
      </c>
      <c r="V18" s="81">
        <v>27281.87</v>
      </c>
      <c r="W18" s="81">
        <v>22472.579000000002</v>
      </c>
      <c r="X18" s="81">
        <v>29446.672999999999</v>
      </c>
      <c r="Y18" s="81">
        <v>40312.784</v>
      </c>
    </row>
    <row r="19" spans="13:25" x14ac:dyDescent="0.3">
      <c r="M19">
        <v>2037</v>
      </c>
      <c r="N19" t="s">
        <v>79</v>
      </c>
      <c r="O19" t="s">
        <v>79</v>
      </c>
      <c r="P19" t="s">
        <v>79</v>
      </c>
      <c r="Q19" t="s">
        <v>79</v>
      </c>
      <c r="R19" t="s">
        <v>79</v>
      </c>
    </row>
    <row r="20" spans="13:25" x14ac:dyDescent="0.3">
      <c r="M20">
        <v>2038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</row>
    <row r="21" spans="13:25" x14ac:dyDescent="0.3">
      <c r="M21">
        <v>2039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T21" s="80" t="s">
        <v>66</v>
      </c>
      <c r="U21" s="80" t="s">
        <v>67</v>
      </c>
    </row>
    <row r="22" spans="13:25" x14ac:dyDescent="0.3">
      <c r="M22">
        <v>2040</v>
      </c>
      <c r="N22" s="43">
        <f>C6/1000</f>
        <v>364.16050000000001</v>
      </c>
      <c r="O22" s="43">
        <f>E6/1000</f>
        <v>364.3648</v>
      </c>
      <c r="P22" s="43">
        <f>G6/1000</f>
        <v>360.77530000000002</v>
      </c>
      <c r="Q22" s="43">
        <f>I6/1000</f>
        <v>355.3596</v>
      </c>
      <c r="R22" s="43">
        <f>K6/1000</f>
        <v>381.27800000000002</v>
      </c>
    </row>
    <row r="23" spans="13:25" x14ac:dyDescent="0.3">
      <c r="M23">
        <v>2041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</row>
    <row r="24" spans="13:25" x14ac:dyDescent="0.3">
      <c r="M24">
        <v>2042</v>
      </c>
      <c r="N24" t="s">
        <v>79</v>
      </c>
      <c r="O24" t="s">
        <v>79</v>
      </c>
      <c r="P24" t="s">
        <v>79</v>
      </c>
      <c r="Q24" t="s">
        <v>79</v>
      </c>
      <c r="R24" t="s">
        <v>79</v>
      </c>
    </row>
    <row r="25" spans="13:25" x14ac:dyDescent="0.3">
      <c r="M25">
        <v>2043</v>
      </c>
      <c r="N25" t="s">
        <v>79</v>
      </c>
      <c r="O25" t="s">
        <v>79</v>
      </c>
      <c r="P25" t="s">
        <v>79</v>
      </c>
      <c r="Q25" t="s">
        <v>79</v>
      </c>
      <c r="R25" t="s">
        <v>79</v>
      </c>
    </row>
    <row r="26" spans="13:25" x14ac:dyDescent="0.3">
      <c r="M26">
        <v>2044</v>
      </c>
      <c r="N26" t="s">
        <v>79</v>
      </c>
      <c r="O26" t="s">
        <v>79</v>
      </c>
      <c r="P26" t="s">
        <v>79</v>
      </c>
      <c r="Q26" t="s">
        <v>79</v>
      </c>
      <c r="R26" t="s">
        <v>79</v>
      </c>
    </row>
    <row r="27" spans="13:25" x14ac:dyDescent="0.3">
      <c r="M27">
        <v>2045</v>
      </c>
      <c r="N27" s="43">
        <f>C7/1000</f>
        <v>370.46199999999999</v>
      </c>
      <c r="O27" s="43">
        <f>E7/1000</f>
        <v>370.89490000000001</v>
      </c>
      <c r="P27" s="43">
        <f>G7/1000</f>
        <v>366.85770000000002</v>
      </c>
      <c r="Q27" s="43">
        <f>I7/1000</f>
        <v>357.69579999999996</v>
      </c>
      <c r="R27" s="43">
        <f>K7/1000</f>
        <v>392.80520000000001</v>
      </c>
    </row>
    <row r="28" spans="13:25" x14ac:dyDescent="0.3">
      <c r="M28">
        <v>2046</v>
      </c>
      <c r="N28" t="s">
        <v>79</v>
      </c>
      <c r="O28" t="s">
        <v>79</v>
      </c>
      <c r="P28" t="s">
        <v>79</v>
      </c>
      <c r="Q28" t="s">
        <v>79</v>
      </c>
      <c r="R28" t="s">
        <v>79</v>
      </c>
    </row>
    <row r="29" spans="13:25" x14ac:dyDescent="0.3">
      <c r="M29">
        <v>2047</v>
      </c>
      <c r="N29" t="s">
        <v>79</v>
      </c>
      <c r="O29" t="s">
        <v>79</v>
      </c>
      <c r="P29" t="s">
        <v>79</v>
      </c>
      <c r="Q29" t="s">
        <v>79</v>
      </c>
      <c r="R29" t="s">
        <v>79</v>
      </c>
    </row>
    <row r="30" spans="13:25" x14ac:dyDescent="0.3">
      <c r="M30">
        <v>2048</v>
      </c>
      <c r="N30" t="s">
        <v>79</v>
      </c>
      <c r="O30" t="s">
        <v>79</v>
      </c>
      <c r="P30" t="s">
        <v>79</v>
      </c>
      <c r="Q30" t="s">
        <v>79</v>
      </c>
      <c r="R30" t="s">
        <v>79</v>
      </c>
    </row>
    <row r="31" spans="13:25" x14ac:dyDescent="0.3">
      <c r="M31">
        <v>2049</v>
      </c>
      <c r="N31" t="s">
        <v>79</v>
      </c>
      <c r="O31" t="s">
        <v>79</v>
      </c>
      <c r="P31" t="s">
        <v>79</v>
      </c>
      <c r="Q31" t="s">
        <v>79</v>
      </c>
      <c r="R31" t="s">
        <v>79</v>
      </c>
    </row>
    <row r="32" spans="13:25" x14ac:dyDescent="0.3">
      <c r="M32">
        <v>2050</v>
      </c>
      <c r="N32" s="43">
        <f>C8/1000</f>
        <v>376.1465</v>
      </c>
      <c r="O32" s="43">
        <f>E8/1000</f>
        <v>377.02509999999995</v>
      </c>
      <c r="P32" s="43">
        <f>G8/1000</f>
        <v>372.81940000000003</v>
      </c>
      <c r="Q32" s="43">
        <f>I8/1000</f>
        <v>359.14209999999997</v>
      </c>
      <c r="R32" s="43">
        <f>K8/1000</f>
        <v>403.94299999999998</v>
      </c>
    </row>
  </sheetData>
  <hyperlinks>
    <hyperlink ref="V10" r:id="rId1" xr:uid="{E636C81C-8DF6-4956-A415-A306EEF9411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030-93EB-4E1B-A569-BD98157FC178}">
  <dimension ref="A1:G32"/>
  <sheetViews>
    <sheetView tabSelected="1" workbookViewId="0">
      <selection activeCell="G16" sqref="G16"/>
    </sheetView>
  </sheetViews>
  <sheetFormatPr defaultRowHeight="14.4" x14ac:dyDescent="0.3"/>
  <sheetData>
    <row r="1" spans="1:7" x14ac:dyDescent="0.3">
      <c r="A1" t="s">
        <v>33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82</v>
      </c>
    </row>
    <row r="2" spans="1:7" x14ac:dyDescent="0.3">
      <c r="A2">
        <v>2020</v>
      </c>
      <c r="B2" s="43">
        <v>335.38819999999998</v>
      </c>
      <c r="C2" s="43">
        <v>335.38819999999998</v>
      </c>
      <c r="D2" s="43">
        <v>335.38819999999998</v>
      </c>
      <c r="E2" s="43">
        <v>335.38819999999998</v>
      </c>
      <c r="F2" s="43">
        <v>335.38819999999998</v>
      </c>
      <c r="G2">
        <v>335.38819999999998</v>
      </c>
    </row>
    <row r="3" spans="1:7" x14ac:dyDescent="0.3">
      <c r="A3">
        <v>2021</v>
      </c>
      <c r="G3">
        <v>336.71276</v>
      </c>
    </row>
    <row r="4" spans="1:7" x14ac:dyDescent="0.3">
      <c r="A4">
        <v>2022</v>
      </c>
      <c r="G4">
        <v>338.03732000000002</v>
      </c>
    </row>
    <row r="5" spans="1:7" x14ac:dyDescent="0.3">
      <c r="A5">
        <v>2023</v>
      </c>
      <c r="G5">
        <v>339.36187999999999</v>
      </c>
    </row>
    <row r="6" spans="1:7" x14ac:dyDescent="0.3">
      <c r="A6">
        <v>2024</v>
      </c>
      <c r="G6">
        <v>340.68644</v>
      </c>
    </row>
    <row r="7" spans="1:7" x14ac:dyDescent="0.3">
      <c r="A7">
        <v>2025</v>
      </c>
      <c r="B7" s="43">
        <v>342.06200000000001</v>
      </c>
      <c r="C7" s="43">
        <v>342.01100000000002</v>
      </c>
      <c r="D7" s="43">
        <v>340.62259999999998</v>
      </c>
      <c r="E7" s="43">
        <v>341.18700000000001</v>
      </c>
      <c r="F7" s="43">
        <v>345.66020000000003</v>
      </c>
      <c r="G7">
        <v>342.01100000000002</v>
      </c>
    </row>
    <row r="8" spans="1:7" x14ac:dyDescent="0.3">
      <c r="A8">
        <v>2026</v>
      </c>
      <c r="G8">
        <v>343.5505</v>
      </c>
    </row>
    <row r="9" spans="1:7" x14ac:dyDescent="0.3">
      <c r="A9">
        <v>2027</v>
      </c>
      <c r="G9">
        <v>345.09</v>
      </c>
    </row>
    <row r="10" spans="1:7" x14ac:dyDescent="0.3">
      <c r="A10">
        <v>2028</v>
      </c>
      <c r="G10">
        <v>346.62950000000001</v>
      </c>
    </row>
    <row r="11" spans="1:7" x14ac:dyDescent="0.3">
      <c r="A11">
        <v>2029</v>
      </c>
      <c r="G11">
        <v>348.16899999999998</v>
      </c>
    </row>
    <row r="12" spans="1:7" x14ac:dyDescent="0.3">
      <c r="A12">
        <v>2030</v>
      </c>
      <c r="B12" s="43">
        <v>349.79090000000002</v>
      </c>
      <c r="C12" s="43">
        <v>349.70850000000002</v>
      </c>
      <c r="D12" s="43">
        <v>347.24020000000002</v>
      </c>
      <c r="E12" s="43">
        <v>347.20759999999996</v>
      </c>
      <c r="F12" s="43">
        <v>357.46050000000002</v>
      </c>
      <c r="G12">
        <v>349.70850000000002</v>
      </c>
    </row>
    <row r="13" spans="1:7" x14ac:dyDescent="0.3">
      <c r="A13">
        <v>2031</v>
      </c>
      <c r="G13">
        <v>351.21803999999997</v>
      </c>
    </row>
    <row r="14" spans="1:7" x14ac:dyDescent="0.3">
      <c r="A14">
        <v>2032</v>
      </c>
      <c r="G14">
        <v>352.72757999999999</v>
      </c>
    </row>
    <row r="15" spans="1:7" x14ac:dyDescent="0.3">
      <c r="A15">
        <v>2033</v>
      </c>
      <c r="G15">
        <v>354.23712</v>
      </c>
    </row>
    <row r="16" spans="1:7" x14ac:dyDescent="0.3">
      <c r="A16">
        <v>2034</v>
      </c>
      <c r="G16">
        <v>355.74666000000002</v>
      </c>
    </row>
    <row r="17" spans="1:7" x14ac:dyDescent="0.3">
      <c r="A17">
        <v>2035</v>
      </c>
      <c r="B17" s="43">
        <v>357.28949999999998</v>
      </c>
      <c r="C17" s="43">
        <v>357.25620000000004</v>
      </c>
      <c r="D17" s="43">
        <v>354.01820000000004</v>
      </c>
      <c r="E17" s="43">
        <v>352.05409999999995</v>
      </c>
      <c r="F17" s="43">
        <v>369.49290000000002</v>
      </c>
      <c r="G17">
        <v>357.25619999999998</v>
      </c>
    </row>
    <row r="18" spans="1:7" x14ac:dyDescent="0.3">
      <c r="A18">
        <v>2036</v>
      </c>
      <c r="G18">
        <v>358.67791999999997</v>
      </c>
    </row>
    <row r="19" spans="1:7" x14ac:dyDescent="0.3">
      <c r="A19">
        <v>2037</v>
      </c>
      <c r="G19">
        <v>360.09964000000002</v>
      </c>
    </row>
    <row r="20" spans="1:7" x14ac:dyDescent="0.3">
      <c r="A20">
        <v>2038</v>
      </c>
      <c r="G20">
        <v>361.52136000000002</v>
      </c>
    </row>
    <row r="21" spans="1:7" x14ac:dyDescent="0.3">
      <c r="A21">
        <v>2039</v>
      </c>
      <c r="G21">
        <v>362.94308000000001</v>
      </c>
    </row>
    <row r="22" spans="1:7" x14ac:dyDescent="0.3">
      <c r="A22">
        <v>2040</v>
      </c>
      <c r="B22" s="43">
        <v>364.16050000000001</v>
      </c>
      <c r="C22" s="43">
        <v>364.3648</v>
      </c>
      <c r="D22" s="43">
        <v>360.77530000000002</v>
      </c>
      <c r="E22" s="43">
        <v>355.3596</v>
      </c>
      <c r="F22" s="43">
        <v>381.27800000000002</v>
      </c>
      <c r="G22">
        <v>364.3648</v>
      </c>
    </row>
    <row r="23" spans="1:7" x14ac:dyDescent="0.3">
      <c r="A23">
        <v>2041</v>
      </c>
      <c r="G23">
        <v>365.67081999999999</v>
      </c>
    </row>
    <row r="24" spans="1:7" x14ac:dyDescent="0.3">
      <c r="A24">
        <v>2042</v>
      </c>
      <c r="G24">
        <v>366.97683999999998</v>
      </c>
    </row>
    <row r="25" spans="1:7" x14ac:dyDescent="0.3">
      <c r="A25">
        <v>2043</v>
      </c>
      <c r="G25">
        <v>368.28286000000003</v>
      </c>
    </row>
    <row r="26" spans="1:7" x14ac:dyDescent="0.3">
      <c r="A26">
        <v>2044</v>
      </c>
      <c r="G26">
        <v>369.58888000000002</v>
      </c>
    </row>
    <row r="27" spans="1:7" x14ac:dyDescent="0.3">
      <c r="A27">
        <v>2045</v>
      </c>
      <c r="B27" s="43">
        <v>370.46199999999999</v>
      </c>
      <c r="C27" s="43">
        <v>370.89490000000001</v>
      </c>
      <c r="D27" s="43">
        <v>366.85770000000002</v>
      </c>
      <c r="E27" s="43">
        <v>357.69579999999996</v>
      </c>
      <c r="F27" s="43">
        <v>392.80520000000001</v>
      </c>
      <c r="G27">
        <v>370.89490000000001</v>
      </c>
    </row>
    <row r="28" spans="1:7" x14ac:dyDescent="0.3">
      <c r="A28">
        <v>2046</v>
      </c>
      <c r="G28">
        <v>372.12094000000002</v>
      </c>
    </row>
    <row r="29" spans="1:7" x14ac:dyDescent="0.3">
      <c r="A29">
        <v>2047</v>
      </c>
      <c r="G29">
        <v>373.34697999999997</v>
      </c>
    </row>
    <row r="30" spans="1:7" x14ac:dyDescent="0.3">
      <c r="A30">
        <v>2048</v>
      </c>
      <c r="G30">
        <v>374.57301999999999</v>
      </c>
    </row>
    <row r="31" spans="1:7" x14ac:dyDescent="0.3">
      <c r="A31">
        <v>2049</v>
      </c>
      <c r="G31">
        <v>375.79906</v>
      </c>
    </row>
    <row r="32" spans="1:7" x14ac:dyDescent="0.3">
      <c r="A32">
        <v>2050</v>
      </c>
      <c r="B32" s="43">
        <v>376.1465</v>
      </c>
      <c r="C32" s="43">
        <v>377.02509999999995</v>
      </c>
      <c r="D32" s="43">
        <v>372.81940000000003</v>
      </c>
      <c r="E32" s="43">
        <v>359.14209999999997</v>
      </c>
      <c r="F32" s="43">
        <v>403.94299999999998</v>
      </c>
      <c r="G32">
        <v>377.02510000000001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C95F-746D-4FE7-96DE-33CFEDCF5B0A}">
  <dimension ref="A1:E42"/>
  <sheetViews>
    <sheetView workbookViewId="0">
      <selection activeCell="B2" sqref="B2:B32"/>
    </sheetView>
  </sheetViews>
  <sheetFormatPr defaultRowHeight="14.4" x14ac:dyDescent="0.3"/>
  <cols>
    <col min="2" max="3" width="16.109375" customWidth="1"/>
    <col min="4" max="4" width="17.33203125" customWidth="1"/>
  </cols>
  <sheetData>
    <row r="1" spans="1:5" x14ac:dyDescent="0.3">
      <c r="A1" t="s">
        <v>75</v>
      </c>
      <c r="B1" t="s">
        <v>76</v>
      </c>
      <c r="C1" t="s">
        <v>77</v>
      </c>
      <c r="D1" t="s">
        <v>78</v>
      </c>
      <c r="E1" t="s">
        <v>80</v>
      </c>
    </row>
    <row r="2" spans="1:5" x14ac:dyDescent="0.3">
      <c r="A2">
        <v>0</v>
      </c>
      <c r="B2" s="65">
        <f>LDV_data!W7</f>
        <v>1</v>
      </c>
      <c r="C2" s="65">
        <v>0</v>
      </c>
      <c r="D2" s="43">
        <f>LDV_data!K7</f>
        <v>16.452879820000003</v>
      </c>
      <c r="E2">
        <v>0.8</v>
      </c>
    </row>
    <row r="3" spans="1:5" x14ac:dyDescent="0.3">
      <c r="A3">
        <v>1</v>
      </c>
      <c r="B3" s="65">
        <f>LDV_data!W8</f>
        <v>0.99399999999999999</v>
      </c>
      <c r="C3" s="65">
        <f>(B2-B3)/B2</f>
        <v>6.0000000000000053E-3</v>
      </c>
      <c r="D3" s="43">
        <f>LDV_data!K8</f>
        <v>12.909182627999998</v>
      </c>
      <c r="E3">
        <v>0.47</v>
      </c>
    </row>
    <row r="4" spans="1:5" x14ac:dyDescent="0.3">
      <c r="A4">
        <v>2</v>
      </c>
      <c r="B4" s="65">
        <f>LDV_data!W9</f>
        <v>0.98799999999999999</v>
      </c>
      <c r="C4" s="65">
        <f t="shared" ref="C4:C32" si="0">(B3-B4)/B3</f>
        <v>6.0362173038229433E-3</v>
      </c>
      <c r="D4" s="43">
        <f>LDV_data!K9</f>
        <v>13.162303855999999</v>
      </c>
      <c r="E4">
        <v>0.23</v>
      </c>
    </row>
    <row r="5" spans="1:5" x14ac:dyDescent="0.3">
      <c r="A5">
        <v>3</v>
      </c>
      <c r="B5" s="65">
        <f>LDV_data!W10</f>
        <v>0.98199999999999998</v>
      </c>
      <c r="C5" s="65">
        <f t="shared" si="0"/>
        <v>6.0728744939271308E-3</v>
      </c>
      <c r="D5" s="43">
        <f>LDV_data!K10</f>
        <v>10.12484912</v>
      </c>
      <c r="E5">
        <v>0.24</v>
      </c>
    </row>
    <row r="6" spans="1:5" x14ac:dyDescent="0.3">
      <c r="A6">
        <v>4</v>
      </c>
      <c r="B6" s="65">
        <f>LDV_data!W11</f>
        <v>0.97199999999999998</v>
      </c>
      <c r="C6" s="65">
        <f t="shared" si="0"/>
        <v>1.0183299389002046E-2</v>
      </c>
      <c r="D6" s="43">
        <f>LDV_data!K11</f>
        <v>8.0998792959999992</v>
      </c>
      <c r="E6">
        <v>0.24</v>
      </c>
    </row>
    <row r="7" spans="1:5" x14ac:dyDescent="0.3">
      <c r="A7">
        <v>5</v>
      </c>
      <c r="B7" s="65">
        <f>LDV_data!W12</f>
        <v>0.95750000000000002</v>
      </c>
      <c r="C7" s="65">
        <f t="shared" si="0"/>
        <v>1.4917695473250985E-2</v>
      </c>
      <c r="D7" s="43">
        <f>LDV_data!K12</f>
        <v>14.174788768000001</v>
      </c>
      <c r="E7">
        <v>0.1</v>
      </c>
    </row>
    <row r="8" spans="1:5" x14ac:dyDescent="0.3">
      <c r="A8">
        <v>6</v>
      </c>
      <c r="B8" s="65">
        <f>LDV_data!W13</f>
        <v>0.94</v>
      </c>
      <c r="C8" s="65">
        <f t="shared" si="0"/>
        <v>1.8276762402088847E-2</v>
      </c>
      <c r="D8" s="43">
        <f>LDV_data!K13</f>
        <v>15.440394908</v>
      </c>
      <c r="E8">
        <v>8.6999999999999994E-2</v>
      </c>
    </row>
    <row r="9" spans="1:5" x14ac:dyDescent="0.3">
      <c r="A9">
        <v>7</v>
      </c>
      <c r="B9" s="65">
        <f>LDV_data!W14</f>
        <v>0.91649999999999998</v>
      </c>
      <c r="C9" s="65">
        <f t="shared" si="0"/>
        <v>2.4999999999999963E-2</v>
      </c>
      <c r="D9" s="43">
        <f>LDV_data!K14</f>
        <v>15.440394908</v>
      </c>
      <c r="E9">
        <v>7.0999999999999994E-2</v>
      </c>
    </row>
    <row r="10" spans="1:5" x14ac:dyDescent="0.3">
      <c r="A10">
        <v>8</v>
      </c>
      <c r="B10" s="65">
        <f>LDV_data!W15</f>
        <v>0.88949999999999996</v>
      </c>
      <c r="C10" s="65">
        <f t="shared" si="0"/>
        <v>2.945990180032736E-2</v>
      </c>
      <c r="D10" s="43">
        <f>LDV_data!K15</f>
        <v>15.440394908</v>
      </c>
      <c r="E10">
        <v>6.3E-2</v>
      </c>
    </row>
    <row r="11" spans="1:5" x14ac:dyDescent="0.3">
      <c r="A11">
        <v>9</v>
      </c>
      <c r="B11" s="65">
        <f>LDV_data!W16</f>
        <v>0.85799999999999998</v>
      </c>
      <c r="C11" s="65">
        <f t="shared" si="0"/>
        <v>3.5413153456998282E-2</v>
      </c>
      <c r="D11" s="43">
        <f>LDV_data!K16</f>
        <v>16.199758591999998</v>
      </c>
      <c r="E11">
        <v>4.8000000000000001E-2</v>
      </c>
    </row>
    <row r="12" spans="1:5" x14ac:dyDescent="0.3">
      <c r="A12">
        <v>10</v>
      </c>
      <c r="B12" s="65">
        <f>LDV_data!W17</f>
        <v>0.82299999999999995</v>
      </c>
      <c r="C12" s="65">
        <f t="shared" si="0"/>
        <v>4.0792540792540827E-2</v>
      </c>
      <c r="D12" s="43">
        <f>LDV_data!K17</f>
        <v>14.681031224</v>
      </c>
      <c r="E12">
        <v>1.4999999999999999E-2</v>
      </c>
    </row>
    <row r="13" spans="1:5" x14ac:dyDescent="0.3">
      <c r="A13">
        <v>11</v>
      </c>
      <c r="B13" s="65">
        <f>LDV_data!W18</f>
        <v>0.78349999999999997</v>
      </c>
      <c r="C13" s="65">
        <f t="shared" si="0"/>
        <v>4.7995139732685273E-2</v>
      </c>
      <c r="D13" s="43">
        <f>LDV_data!K18</f>
        <v>13.92166754</v>
      </c>
      <c r="E13">
        <v>0.01</v>
      </c>
    </row>
    <row r="14" spans="1:5" x14ac:dyDescent="0.3">
      <c r="A14">
        <v>12</v>
      </c>
      <c r="B14" s="65">
        <f>LDV_data!W19</f>
        <v>0.74249999999999994</v>
      </c>
      <c r="C14" s="65">
        <f t="shared" si="0"/>
        <v>5.2329291640076631E-2</v>
      </c>
      <c r="D14" s="43">
        <f>LDV_data!K19</f>
        <v>12.402940172000001</v>
      </c>
      <c r="E14">
        <v>0</v>
      </c>
    </row>
    <row r="15" spans="1:5" x14ac:dyDescent="0.3">
      <c r="A15">
        <v>13</v>
      </c>
      <c r="B15" s="65">
        <f>LDV_data!W20</f>
        <v>0.6845</v>
      </c>
      <c r="C15" s="65">
        <f t="shared" si="0"/>
        <v>7.8114478114478039E-2</v>
      </c>
      <c r="D15" s="43">
        <f>LDV_data!K20</f>
        <v>11.643576488000001</v>
      </c>
      <c r="E15">
        <v>0</v>
      </c>
    </row>
    <row r="16" spans="1:5" x14ac:dyDescent="0.3">
      <c r="A16">
        <v>14</v>
      </c>
      <c r="B16" s="65">
        <f>LDV_data!W21</f>
        <v>0.60899999999999999</v>
      </c>
      <c r="C16" s="65">
        <f t="shared" si="0"/>
        <v>0.11029948867786707</v>
      </c>
      <c r="D16" s="43">
        <f>LDV_data!K21</f>
        <v>10.631091576000001</v>
      </c>
      <c r="E16">
        <v>0</v>
      </c>
    </row>
    <row r="17" spans="1:5" x14ac:dyDescent="0.3">
      <c r="A17">
        <v>15</v>
      </c>
      <c r="B17" s="65">
        <f>LDV_data!W22</f>
        <v>0.53150000000000008</v>
      </c>
      <c r="C17" s="65">
        <f t="shared" si="0"/>
        <v>0.12725779967159262</v>
      </c>
      <c r="D17" s="43">
        <f>LDV_data!K22</f>
        <v>9.8717278920000009</v>
      </c>
      <c r="E17">
        <v>0</v>
      </c>
    </row>
    <row r="18" spans="1:5" x14ac:dyDescent="0.3">
      <c r="A18">
        <v>16</v>
      </c>
      <c r="B18" s="65">
        <f>LDV_data!W23</f>
        <v>0.45850000000000002</v>
      </c>
      <c r="C18" s="65">
        <f t="shared" si="0"/>
        <v>0.13734713076199445</v>
      </c>
      <c r="D18" s="43">
        <f>LDV_data!K23</f>
        <v>8.0948168714400008</v>
      </c>
      <c r="E18">
        <v>0</v>
      </c>
    </row>
    <row r="19" spans="1:5" x14ac:dyDescent="0.3">
      <c r="A19">
        <v>17</v>
      </c>
      <c r="B19" s="65">
        <f>LDV_data!W24</f>
        <v>0.39250000000000002</v>
      </c>
      <c r="C19" s="65">
        <f t="shared" si="0"/>
        <v>0.14394765539803708</v>
      </c>
      <c r="D19" s="43">
        <f>LDV_data!K24</f>
        <v>6.6377498345808004</v>
      </c>
      <c r="E19">
        <v>0</v>
      </c>
    </row>
    <row r="20" spans="1:5" x14ac:dyDescent="0.3">
      <c r="A20">
        <v>18</v>
      </c>
      <c r="B20" s="65">
        <f>LDV_data!W25</f>
        <v>0.33399999999999996</v>
      </c>
      <c r="C20" s="65">
        <f t="shared" si="0"/>
        <v>0.14904458598726128</v>
      </c>
      <c r="D20" s="43">
        <f>LDV_data!K25</f>
        <v>5.4429548643562562</v>
      </c>
      <c r="E20">
        <v>0</v>
      </c>
    </row>
    <row r="21" spans="1:5" x14ac:dyDescent="0.3">
      <c r="A21">
        <v>19</v>
      </c>
      <c r="B21" s="65">
        <f>LDV_data!W26</f>
        <v>0.28349999999999997</v>
      </c>
      <c r="C21" s="65">
        <f t="shared" si="0"/>
        <v>0.15119760479041916</v>
      </c>
      <c r="D21" s="43">
        <f>LDV_data!K26</f>
        <v>4.4632229887721317</v>
      </c>
      <c r="E21">
        <v>0</v>
      </c>
    </row>
    <row r="22" spans="1:5" x14ac:dyDescent="0.3">
      <c r="A22">
        <v>20</v>
      </c>
      <c r="B22" s="65">
        <f>LDV_data!W27</f>
        <v>0.24049999999999999</v>
      </c>
      <c r="C22" s="65">
        <f t="shared" si="0"/>
        <v>0.15167548500881831</v>
      </c>
      <c r="D22" s="43">
        <f>LDV_data!K27</f>
        <v>3.6598428507931478</v>
      </c>
      <c r="E22">
        <v>0</v>
      </c>
    </row>
    <row r="23" spans="1:5" x14ac:dyDescent="0.3">
      <c r="A23">
        <v>21</v>
      </c>
      <c r="B23" s="65">
        <f>LDV_data!W28</f>
        <v>0.20399999999999999</v>
      </c>
      <c r="C23" s="65">
        <f t="shared" si="0"/>
        <v>0.1517671517671518</v>
      </c>
      <c r="D23" s="43">
        <f>LDV_data!K28</f>
        <v>3.0010711376503814</v>
      </c>
      <c r="E23">
        <v>0</v>
      </c>
    </row>
    <row r="24" spans="1:5" x14ac:dyDescent="0.3">
      <c r="A24">
        <v>22</v>
      </c>
      <c r="B24" s="65">
        <f>LDV_data!W29</f>
        <v>0.17349999999999999</v>
      </c>
      <c r="C24" s="65">
        <f t="shared" si="0"/>
        <v>0.14950980392156862</v>
      </c>
      <c r="D24" s="43">
        <f>LDV_data!K29</f>
        <v>2.460878332873313</v>
      </c>
      <c r="E24">
        <v>0</v>
      </c>
    </row>
    <row r="25" spans="1:5" x14ac:dyDescent="0.3">
      <c r="A25">
        <v>23</v>
      </c>
      <c r="B25" s="65">
        <f>LDV_data!W30</f>
        <v>0.14750000000000002</v>
      </c>
      <c r="C25" s="65">
        <f t="shared" si="0"/>
        <v>0.14985590778097965</v>
      </c>
      <c r="D25" s="43">
        <f>LDV_data!K30</f>
        <v>2.0179202329561168</v>
      </c>
      <c r="E25">
        <v>0</v>
      </c>
    </row>
    <row r="26" spans="1:5" x14ac:dyDescent="0.3">
      <c r="A26">
        <v>24</v>
      </c>
      <c r="B26" s="65">
        <f>LDV_data!W31</f>
        <v>0.1255</v>
      </c>
      <c r="C26" s="65">
        <f t="shared" si="0"/>
        <v>0.14915254237288147</v>
      </c>
      <c r="D26" s="43">
        <f>LDV_data!K31</f>
        <v>1.6546945910240158</v>
      </c>
      <c r="E26">
        <v>0</v>
      </c>
    </row>
    <row r="27" spans="1:5" x14ac:dyDescent="0.3">
      <c r="A27">
        <v>25</v>
      </c>
      <c r="B27" s="65">
        <f>LDV_data!W32</f>
        <v>0.107</v>
      </c>
      <c r="C27" s="65">
        <f t="shared" si="0"/>
        <v>0.14741035856573706</v>
      </c>
      <c r="D27" s="43">
        <f>LDV_data!K32</f>
        <v>1.356849564639693</v>
      </c>
      <c r="E27">
        <v>0</v>
      </c>
    </row>
    <row r="28" spans="1:5" x14ac:dyDescent="0.3">
      <c r="A28">
        <v>26</v>
      </c>
      <c r="B28" s="65">
        <f>LDV_data!W33</f>
        <v>9.1499999999999998E-2</v>
      </c>
      <c r="C28" s="65">
        <f t="shared" si="0"/>
        <v>0.14485981308411214</v>
      </c>
      <c r="D28" s="43">
        <f>LDV_data!K33</f>
        <v>1.1126166430045485</v>
      </c>
      <c r="E28">
        <v>0</v>
      </c>
    </row>
    <row r="29" spans="1:5" x14ac:dyDescent="0.3">
      <c r="A29">
        <v>27</v>
      </c>
      <c r="B29" s="65">
        <f>LDV_data!W34</f>
        <v>7.8E-2</v>
      </c>
      <c r="C29" s="65">
        <f t="shared" si="0"/>
        <v>0.14754098360655735</v>
      </c>
      <c r="D29" s="43">
        <f>LDV_data!K34</f>
        <v>0.91234564726372969</v>
      </c>
      <c r="E29">
        <v>0</v>
      </c>
    </row>
    <row r="30" spans="1:5" x14ac:dyDescent="0.3">
      <c r="A30">
        <v>28</v>
      </c>
      <c r="B30" s="65">
        <f>LDV_data!W35</f>
        <v>6.5000000000000002E-2</v>
      </c>
      <c r="C30" s="65">
        <f t="shared" si="0"/>
        <v>0.16666666666666663</v>
      </c>
      <c r="D30" s="43">
        <f>LDV_data!K35</f>
        <v>0.74812343075625831</v>
      </c>
      <c r="E30">
        <v>0</v>
      </c>
    </row>
    <row r="31" spans="1:5" x14ac:dyDescent="0.3">
      <c r="A31">
        <v>29</v>
      </c>
      <c r="B31" s="65">
        <f>LDV_data!W36</f>
        <v>5.5999999999999994E-2</v>
      </c>
      <c r="C31" s="65">
        <f t="shared" si="0"/>
        <v>0.13846153846153858</v>
      </c>
      <c r="D31" s="43">
        <f>LDV_data!K36</f>
        <v>0.61346121322013192</v>
      </c>
      <c r="E31">
        <v>0</v>
      </c>
    </row>
    <row r="32" spans="1:5" x14ac:dyDescent="0.3">
      <c r="A32">
        <v>30</v>
      </c>
      <c r="B32" s="65">
        <f>LDV_data!W37</f>
        <v>4.8000000000000001E-2</v>
      </c>
      <c r="C32" s="65">
        <f t="shared" si="0"/>
        <v>0.14285714285714274</v>
      </c>
      <c r="D32" s="43">
        <f>LDV_data!K37</f>
        <v>0.50303819484050816</v>
      </c>
      <c r="E32">
        <v>0</v>
      </c>
    </row>
    <row r="33" spans="2:4" x14ac:dyDescent="0.3">
      <c r="B33" s="43"/>
      <c r="C33" s="43"/>
      <c r="D33" s="43"/>
    </row>
    <row r="34" spans="2:4" x14ac:dyDescent="0.3">
      <c r="B34" s="43"/>
      <c r="C34" s="43"/>
      <c r="D34" s="43"/>
    </row>
    <row r="35" spans="2:4" x14ac:dyDescent="0.3">
      <c r="B35" s="43"/>
      <c r="C35" s="43"/>
    </row>
    <row r="36" spans="2:4" x14ac:dyDescent="0.3">
      <c r="B36" s="43"/>
      <c r="C36" s="43"/>
    </row>
    <row r="37" spans="2:4" x14ac:dyDescent="0.3">
      <c r="B37" s="43"/>
      <c r="C37" s="43"/>
    </row>
    <row r="38" spans="2:4" x14ac:dyDescent="0.3">
      <c r="B38" s="43"/>
      <c r="C38" s="43"/>
    </row>
    <row r="39" spans="2:4" x14ac:dyDescent="0.3">
      <c r="B39" s="43"/>
      <c r="C39" s="43"/>
    </row>
    <row r="40" spans="2:4" x14ac:dyDescent="0.3">
      <c r="B40" s="43"/>
      <c r="C40" s="43"/>
    </row>
    <row r="41" spans="2:4" x14ac:dyDescent="0.3">
      <c r="B41" s="43"/>
      <c r="C41" s="43"/>
    </row>
    <row r="42" spans="2:4" x14ac:dyDescent="0.3">
      <c r="B42" s="43"/>
      <c r="C42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LDV_data</vt:lpstr>
      <vt:lpstr>Pop_data</vt:lpstr>
      <vt:lpstr>SSP_pop_data</vt:lpstr>
      <vt:lpstr>Python_input_data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Brecha</dc:creator>
  <cp:lastModifiedBy>Robert Brecha</cp:lastModifiedBy>
  <dcterms:created xsi:type="dcterms:W3CDTF">2024-03-14T18:36:30Z</dcterms:created>
  <dcterms:modified xsi:type="dcterms:W3CDTF">2024-05-13T20:47:41Z</dcterms:modified>
</cp:coreProperties>
</file>