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esktop\Research\Github_Material\"/>
    </mc:Choice>
  </mc:AlternateContent>
  <xr:revisionPtr revIDLastSave="0" documentId="13_ncr:1_{64C44F89-E2EB-4F73-AF39-E71286C007A4}" xr6:coauthVersionLast="47" xr6:coauthVersionMax="47" xr10:uidLastSave="{00000000-0000-0000-0000-000000000000}"/>
  <bookViews>
    <workbookView xWindow="-28905" yWindow="0" windowWidth="14610" windowHeight="15585" firstSheet="3" activeTab="3" xr2:uid="{06F95971-0EF4-42D6-8F39-0716DD50ED78}"/>
  </bookViews>
  <sheets>
    <sheet name="Hydrogen" sheetId="8" r:id="rId1"/>
    <sheet name="Anitgua Current System" sheetId="5" r:id="rId2"/>
    <sheet name="Only Wind,PV,Batteries" sheetId="1" r:id="rId3"/>
    <sheet name="CSP" sheetId="4" r:id="rId4"/>
    <sheet name="Small Diesel" sheetId="6" r:id="rId5"/>
    <sheet name="Available Land_Plant Land Use" sheetId="7" r:id="rId6"/>
    <sheet name="Best Result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4" l="1"/>
  <c r="F116" i="4"/>
  <c r="H113" i="4"/>
  <c r="F113" i="4"/>
  <c r="H112" i="4"/>
  <c r="F112" i="4"/>
  <c r="F117" i="4" s="1"/>
  <c r="I117" i="4" s="1"/>
  <c r="H109" i="4"/>
  <c r="F109" i="4"/>
  <c r="H108" i="4"/>
  <c r="F108" i="4"/>
  <c r="H107" i="4"/>
  <c r="F107" i="4"/>
  <c r="I105" i="4"/>
  <c r="H98" i="4"/>
  <c r="H52" i="4"/>
  <c r="H82" i="4"/>
  <c r="H67" i="4"/>
  <c r="P16" i="8"/>
  <c r="P15" i="8"/>
  <c r="G105" i="6" l="1"/>
  <c r="G84" i="6"/>
  <c r="W84" i="6"/>
  <c r="V84" i="6"/>
  <c r="Y10" i="6"/>
  <c r="X10" i="6"/>
  <c r="W10" i="6"/>
  <c r="V10" i="6"/>
  <c r="N11" i="8"/>
  <c r="O16" i="8"/>
  <c r="O15" i="8"/>
  <c r="N16" i="8"/>
  <c r="N15" i="8"/>
  <c r="O14" i="8"/>
  <c r="N14" i="8"/>
  <c r="G30" i="6"/>
  <c r="F119" i="8"/>
  <c r="F140" i="6"/>
  <c r="F108" i="6"/>
  <c r="F88" i="6"/>
  <c r="F69" i="6"/>
  <c r="F51" i="6"/>
  <c r="F33" i="6"/>
  <c r="F15" i="6"/>
  <c r="G47" i="8"/>
  <c r="G30" i="8" l="1"/>
  <c r="O11" i="8"/>
  <c r="H22" i="8" l="1"/>
  <c r="F101" i="4"/>
  <c r="F85" i="4"/>
  <c r="H11" i="4"/>
  <c r="H24" i="4"/>
  <c r="H37" i="4"/>
  <c r="F116" i="8"/>
  <c r="F67" i="8"/>
  <c r="F51" i="8"/>
  <c r="F34" i="8"/>
  <c r="F17" i="8"/>
  <c r="F98" i="8"/>
  <c r="F70" i="4"/>
  <c r="F55" i="4"/>
  <c r="F27" i="4"/>
  <c r="F40" i="4"/>
  <c r="F14" i="4"/>
  <c r="F13" i="7"/>
  <c r="D18" i="7"/>
  <c r="O134" i="6"/>
  <c r="O133" i="6"/>
  <c r="O132" i="6"/>
  <c r="M81" i="4"/>
  <c r="M80" i="4"/>
  <c r="M79" i="4"/>
  <c r="L81" i="4"/>
  <c r="L80" i="4"/>
  <c r="L79" i="4"/>
  <c r="I103" i="4"/>
  <c r="M78" i="4" s="1"/>
  <c r="F98" i="4"/>
  <c r="H97" i="4"/>
  <c r="F97" i="4"/>
  <c r="H94" i="4"/>
  <c r="F94" i="4"/>
  <c r="H93" i="4"/>
  <c r="F93" i="4"/>
  <c r="H92" i="4"/>
  <c r="F92" i="4"/>
  <c r="I87" i="4"/>
  <c r="L78" i="4" s="1"/>
  <c r="F82" i="4"/>
  <c r="H81" i="4"/>
  <c r="F81" i="4"/>
  <c r="H78" i="4"/>
  <c r="F78" i="4"/>
  <c r="H77" i="4"/>
  <c r="F77" i="4"/>
  <c r="H76" i="4"/>
  <c r="F76" i="4"/>
  <c r="I72" i="4"/>
  <c r="O131" i="6" s="1"/>
  <c r="F67" i="4"/>
  <c r="H66" i="4"/>
  <c r="F66" i="4"/>
  <c r="H63" i="4"/>
  <c r="F63" i="4"/>
  <c r="H62" i="4"/>
  <c r="F62" i="4"/>
  <c r="H61" i="4"/>
  <c r="F61" i="4"/>
  <c r="F102" i="4" l="1"/>
  <c r="I102" i="4" s="1"/>
  <c r="M77" i="4" s="1"/>
  <c r="F86" i="4"/>
  <c r="I86" i="4" s="1"/>
  <c r="L77" i="4" s="1"/>
  <c r="F71" i="4"/>
  <c r="I71" i="4" s="1"/>
  <c r="O130" i="6" s="1"/>
  <c r="N134" i="6"/>
  <c r="N133" i="6"/>
  <c r="N132" i="6"/>
  <c r="M133" i="6"/>
  <c r="M134" i="6"/>
  <c r="M132" i="6"/>
  <c r="I120" i="8"/>
  <c r="F118" i="8"/>
  <c r="F117" i="8"/>
  <c r="G113" i="8"/>
  <c r="F113" i="8"/>
  <c r="G112" i="8"/>
  <c r="F112" i="8"/>
  <c r="G111" i="8"/>
  <c r="F111" i="8"/>
  <c r="H108" i="8"/>
  <c r="F108" i="8"/>
  <c r="H107" i="8"/>
  <c r="F107" i="8"/>
  <c r="H106" i="8"/>
  <c r="F106" i="8"/>
  <c r="I57" i="4"/>
  <c r="N131" i="6" s="1"/>
  <c r="F52" i="4"/>
  <c r="H51" i="4"/>
  <c r="F51" i="4"/>
  <c r="H48" i="4"/>
  <c r="F48" i="4"/>
  <c r="H47" i="4"/>
  <c r="F47" i="4"/>
  <c r="H46" i="4"/>
  <c r="F46" i="4"/>
  <c r="I142" i="6"/>
  <c r="M131" i="6" s="1"/>
  <c r="G142" i="6"/>
  <c r="G137" i="6"/>
  <c r="F137" i="6"/>
  <c r="G136" i="6"/>
  <c r="F136" i="6"/>
  <c r="H133" i="6"/>
  <c r="F133" i="6"/>
  <c r="H132" i="6"/>
  <c r="F132" i="6"/>
  <c r="H131" i="6"/>
  <c r="F131" i="6"/>
  <c r="H130" i="6"/>
  <c r="F130" i="6"/>
  <c r="X82" i="6"/>
  <c r="X81" i="6"/>
  <c r="W83" i="6"/>
  <c r="W82" i="6"/>
  <c r="W81" i="6"/>
  <c r="V83" i="6"/>
  <c r="V82" i="6"/>
  <c r="V81" i="6"/>
  <c r="I124" i="6"/>
  <c r="X80" i="6" s="1"/>
  <c r="G124" i="6"/>
  <c r="G122" i="6"/>
  <c r="F122" i="6"/>
  <c r="H119" i="6"/>
  <c r="F119" i="6"/>
  <c r="H118" i="6"/>
  <c r="F118" i="6"/>
  <c r="H117" i="6"/>
  <c r="F117" i="6"/>
  <c r="I110" i="6"/>
  <c r="W80" i="6" s="1"/>
  <c r="G110" i="6"/>
  <c r="F105" i="6"/>
  <c r="G104" i="6"/>
  <c r="F104" i="6"/>
  <c r="H101" i="6"/>
  <c r="F101" i="6"/>
  <c r="H100" i="6"/>
  <c r="F100" i="6"/>
  <c r="H99" i="6"/>
  <c r="F99" i="6"/>
  <c r="H98" i="6"/>
  <c r="F98" i="6"/>
  <c r="F90" i="6"/>
  <c r="F89" i="6"/>
  <c r="G85" i="6"/>
  <c r="F85" i="6"/>
  <c r="I92" i="6"/>
  <c r="V80" i="6" s="1"/>
  <c r="G92" i="6"/>
  <c r="F84" i="6"/>
  <c r="G83" i="6"/>
  <c r="F83" i="6"/>
  <c r="H80" i="6"/>
  <c r="F80" i="6"/>
  <c r="H79" i="6"/>
  <c r="F79" i="6"/>
  <c r="H78" i="6"/>
  <c r="F78" i="6"/>
  <c r="H77" i="6"/>
  <c r="F77" i="6"/>
  <c r="P6" i="5"/>
  <c r="O6" i="5"/>
  <c r="P14" i="8"/>
  <c r="P9" i="8"/>
  <c r="P8" i="8"/>
  <c r="O10" i="8"/>
  <c r="O9" i="8"/>
  <c r="O8" i="8"/>
  <c r="N10" i="8"/>
  <c r="N9" i="8"/>
  <c r="N8" i="8"/>
  <c r="G66" i="6"/>
  <c r="G65" i="6"/>
  <c r="Y11" i="6"/>
  <c r="Y9" i="6"/>
  <c r="Y8" i="6"/>
  <c r="Y7" i="6"/>
  <c r="X11" i="6"/>
  <c r="X9" i="6"/>
  <c r="X8" i="6"/>
  <c r="X7" i="6"/>
  <c r="W11" i="6"/>
  <c r="W9" i="6"/>
  <c r="W8" i="6"/>
  <c r="W7" i="6"/>
  <c r="V11" i="6"/>
  <c r="V9" i="6"/>
  <c r="V8" i="6"/>
  <c r="V7" i="6"/>
  <c r="Q11" i="4"/>
  <c r="Q10" i="4"/>
  <c r="Q9" i="4"/>
  <c r="P11" i="4"/>
  <c r="P10" i="4"/>
  <c r="P9" i="4"/>
  <c r="O11" i="4"/>
  <c r="O10" i="4"/>
  <c r="O9" i="4"/>
  <c r="Q10" i="1"/>
  <c r="Q9" i="1"/>
  <c r="Q8" i="1"/>
  <c r="Q7" i="1"/>
  <c r="Q6" i="1"/>
  <c r="Q5" i="1"/>
  <c r="P10" i="1"/>
  <c r="P9" i="1"/>
  <c r="P8" i="1"/>
  <c r="P7" i="1"/>
  <c r="P6" i="1"/>
  <c r="P5" i="1"/>
  <c r="O10" i="1"/>
  <c r="O9" i="1"/>
  <c r="O8" i="1"/>
  <c r="O7" i="1"/>
  <c r="O6" i="1"/>
  <c r="O5" i="1"/>
  <c r="G94" i="8"/>
  <c r="G93" i="8"/>
  <c r="I85" i="8"/>
  <c r="P7" i="8" s="1"/>
  <c r="G63" i="8"/>
  <c r="G78" i="8"/>
  <c r="G13" i="8"/>
  <c r="G12" i="8"/>
  <c r="G29" i="8"/>
  <c r="G46" i="8"/>
  <c r="F109" i="6" l="1"/>
  <c r="I109" i="6" s="1"/>
  <c r="W79" i="6" s="1"/>
  <c r="F141" i="6"/>
  <c r="I141" i="6" s="1"/>
  <c r="M130" i="6" s="1"/>
  <c r="F56" i="4"/>
  <c r="I56" i="4" s="1"/>
  <c r="N130" i="6" s="1"/>
  <c r="I119" i="8"/>
  <c r="F123" i="6"/>
  <c r="I123" i="6" s="1"/>
  <c r="X79" i="6" s="1"/>
  <c r="F91" i="6"/>
  <c r="I91" i="6" s="1"/>
  <c r="V79" i="6" s="1"/>
  <c r="G71" i="6"/>
  <c r="G48" i="6"/>
  <c r="G47" i="6"/>
  <c r="G53" i="6"/>
  <c r="H23" i="6"/>
  <c r="G29" i="6"/>
  <c r="H24" i="6"/>
  <c r="H25" i="6"/>
  <c r="H41" i="6"/>
  <c r="H42" i="6"/>
  <c r="H43" i="6"/>
  <c r="H59" i="6"/>
  <c r="H60" i="6"/>
  <c r="H61" i="6"/>
  <c r="G35" i="6"/>
  <c r="G17" i="6"/>
  <c r="G12" i="6"/>
  <c r="G11" i="6"/>
  <c r="H5" i="6"/>
  <c r="H6" i="6"/>
  <c r="H7" i="6"/>
  <c r="H36" i="4"/>
  <c r="H10" i="4"/>
  <c r="H23" i="4"/>
  <c r="H7" i="4"/>
  <c r="H20" i="4"/>
  <c r="H33" i="4"/>
  <c r="H32" i="4"/>
  <c r="H31" i="4"/>
  <c r="H19" i="4"/>
  <c r="H18" i="4"/>
  <c r="H6" i="4"/>
  <c r="H5" i="4"/>
  <c r="H6" i="1"/>
  <c r="H5" i="1"/>
  <c r="H14" i="1"/>
  <c r="H13" i="1"/>
  <c r="H22" i="1"/>
  <c r="H21" i="1"/>
  <c r="I15" i="5"/>
  <c r="H13" i="5"/>
  <c r="F13" i="5"/>
  <c r="H12" i="5"/>
  <c r="F12" i="5"/>
  <c r="F15" i="5" s="1"/>
  <c r="H6" i="5"/>
  <c r="I102" i="8" l="1"/>
  <c r="F100" i="8"/>
  <c r="F99" i="8"/>
  <c r="G95" i="8"/>
  <c r="F95" i="8"/>
  <c r="F94" i="8"/>
  <c r="F93" i="8"/>
  <c r="H90" i="8"/>
  <c r="F90" i="8"/>
  <c r="H89" i="8"/>
  <c r="F89" i="8"/>
  <c r="H88" i="8"/>
  <c r="F88" i="8"/>
  <c r="F83" i="8"/>
  <c r="F82" i="8"/>
  <c r="G79" i="8"/>
  <c r="F79" i="8"/>
  <c r="F78" i="8"/>
  <c r="H75" i="8"/>
  <c r="F75" i="8"/>
  <c r="H74" i="8"/>
  <c r="F74" i="8"/>
  <c r="F26" i="8"/>
  <c r="H26" i="8"/>
  <c r="F30" i="8"/>
  <c r="I38" i="8"/>
  <c r="N7" i="8" s="1"/>
  <c r="F60" i="8"/>
  <c r="H60" i="8"/>
  <c r="I71" i="8"/>
  <c r="F69" i="8"/>
  <c r="F68" i="8"/>
  <c r="G64" i="8"/>
  <c r="F64" i="8"/>
  <c r="F63" i="8"/>
  <c r="H59" i="8"/>
  <c r="F59" i="8"/>
  <c r="H58" i="8"/>
  <c r="F58" i="8"/>
  <c r="H43" i="8"/>
  <c r="H42" i="8"/>
  <c r="H41" i="8"/>
  <c r="F53" i="8"/>
  <c r="F52" i="8"/>
  <c r="G48" i="8"/>
  <c r="F48" i="8"/>
  <c r="H25" i="8"/>
  <c r="H24" i="8"/>
  <c r="H5" i="8"/>
  <c r="H6" i="8"/>
  <c r="H7" i="8"/>
  <c r="H8" i="8"/>
  <c r="G31" i="8"/>
  <c r="G14" i="8"/>
  <c r="F31" i="8"/>
  <c r="F35" i="8"/>
  <c r="F36" i="8"/>
  <c r="F14" i="8"/>
  <c r="F18" i="8"/>
  <c r="F19" i="8"/>
  <c r="F7" i="8"/>
  <c r="F8" i="8"/>
  <c r="I55" i="8"/>
  <c r="O7" i="8" s="1"/>
  <c r="F47" i="8"/>
  <c r="F46" i="8"/>
  <c r="F43" i="8"/>
  <c r="F42" i="8"/>
  <c r="F41" i="8"/>
  <c r="F29" i="8"/>
  <c r="F25" i="8"/>
  <c r="F24" i="8"/>
  <c r="F101" i="8" l="1"/>
  <c r="I101" i="8" s="1"/>
  <c r="F84" i="8"/>
  <c r="I84" i="8" s="1"/>
  <c r="P6" i="8" s="1"/>
  <c r="F54" i="8"/>
  <c r="I54" i="8" s="1"/>
  <c r="O6" i="8" s="1"/>
  <c r="F70" i="8"/>
  <c r="I70" i="8" s="1"/>
  <c r="F37" i="8"/>
  <c r="I37" i="8" s="1"/>
  <c r="N6" i="8" s="1"/>
  <c r="I21" i="8"/>
  <c r="F13" i="8"/>
  <c r="F12" i="8"/>
  <c r="F6" i="8"/>
  <c r="F5" i="8"/>
  <c r="C6" i="7"/>
  <c r="C5" i="7"/>
  <c r="I27" i="1"/>
  <c r="I19" i="1"/>
  <c r="I11" i="1"/>
  <c r="I42" i="4"/>
  <c r="Q8" i="4" s="1"/>
  <c r="I29" i="4"/>
  <c r="P8" i="4" s="1"/>
  <c r="I16" i="4"/>
  <c r="O8" i="4" s="1"/>
  <c r="I71" i="6"/>
  <c r="Y6" i="6" s="1"/>
  <c r="I17" i="6"/>
  <c r="V6" i="6" s="1"/>
  <c r="I35" i="6"/>
  <c r="W6" i="6" s="1"/>
  <c r="I53" i="6"/>
  <c r="X6" i="6" s="1"/>
  <c r="D14" i="7"/>
  <c r="D13" i="7"/>
  <c r="F20" i="8" l="1"/>
  <c r="I20" i="8" s="1"/>
  <c r="H5" i="5"/>
  <c r="H62" i="6"/>
  <c r="H44" i="6"/>
  <c r="H26" i="6"/>
  <c r="H8" i="6"/>
  <c r="F5" i="6"/>
  <c r="F6" i="6"/>
  <c r="F7" i="6"/>
  <c r="F8" i="6"/>
  <c r="F11" i="6"/>
  <c r="F12" i="6"/>
  <c r="F30" i="6"/>
  <c r="F29" i="6"/>
  <c r="F26" i="6"/>
  <c r="F25" i="6"/>
  <c r="F24" i="6"/>
  <c r="F23" i="6"/>
  <c r="F66" i="6"/>
  <c r="F65" i="6"/>
  <c r="F62" i="6"/>
  <c r="F61" i="6"/>
  <c r="F60" i="6"/>
  <c r="F59" i="6"/>
  <c r="F48" i="6"/>
  <c r="F47" i="6"/>
  <c r="F44" i="6"/>
  <c r="F43" i="6"/>
  <c r="F42" i="6"/>
  <c r="F41" i="6"/>
  <c r="F5" i="5"/>
  <c r="F6" i="5"/>
  <c r="H25" i="1"/>
  <c r="H17" i="1"/>
  <c r="H9" i="1"/>
  <c r="F37" i="4"/>
  <c r="F24" i="4"/>
  <c r="F33" i="4"/>
  <c r="F20" i="4"/>
  <c r="F11" i="4"/>
  <c r="F7" i="4"/>
  <c r="F36" i="4"/>
  <c r="F32" i="4"/>
  <c r="F31" i="4"/>
  <c r="F23" i="4"/>
  <c r="F19" i="4"/>
  <c r="F18" i="4"/>
  <c r="F10" i="4"/>
  <c r="F6" i="4"/>
  <c r="F5" i="4"/>
  <c r="F25" i="1"/>
  <c r="F17" i="1"/>
  <c r="F18" i="1" s="1"/>
  <c r="I18" i="1" s="1"/>
  <c r="F9" i="1"/>
  <c r="F22" i="1"/>
  <c r="F21" i="1"/>
  <c r="F14" i="1"/>
  <c r="F13" i="1"/>
  <c r="F6" i="1"/>
  <c r="F5" i="1"/>
  <c r="F70" i="6" l="1"/>
  <c r="I70" i="6" s="1"/>
  <c r="Y5" i="6" s="1"/>
  <c r="F34" i="6"/>
  <c r="F16" i="6"/>
  <c r="I16" i="6" s="1"/>
  <c r="V5" i="6" s="1"/>
  <c r="F52" i="6"/>
  <c r="I52" i="6" s="1"/>
  <c r="X5" i="6" s="1"/>
  <c r="F15" i="4"/>
  <c r="I15" i="4" s="1"/>
  <c r="O7" i="4" s="1"/>
  <c r="F28" i="4"/>
  <c r="I28" i="4" s="1"/>
  <c r="P7" i="4" s="1"/>
  <c r="F41" i="4"/>
  <c r="I41" i="4" s="1"/>
  <c r="Q7" i="4" s="1"/>
  <c r="F26" i="1"/>
  <c r="I26" i="1" s="1"/>
  <c r="F10" i="1"/>
  <c r="I10" i="1" s="1"/>
  <c r="F8" i="5"/>
  <c r="I8" i="5" s="1"/>
  <c r="I34" i="6"/>
  <c r="W5" i="6" s="1"/>
</calcChain>
</file>

<file path=xl/sharedStrings.xml><?xml version="1.0" encoding="utf-8"?>
<sst xmlns="http://schemas.openxmlformats.org/spreadsheetml/2006/main" count="1168" uniqueCount="144">
  <si>
    <t>Capital Cost</t>
  </si>
  <si>
    <t>MWh</t>
  </si>
  <si>
    <t>Max/min?</t>
  </si>
  <si>
    <t>Wind</t>
  </si>
  <si>
    <t>PV</t>
  </si>
  <si>
    <t>CSP</t>
  </si>
  <si>
    <t>Batteries</t>
  </si>
  <si>
    <t>Utility</t>
  </si>
  <si>
    <t>max</t>
  </si>
  <si>
    <t>none</t>
  </si>
  <si>
    <t>e_initial</t>
  </si>
  <si>
    <t>25MW Wind</t>
  </si>
  <si>
    <t>50MW Wind</t>
  </si>
  <si>
    <t>100MW Wind</t>
  </si>
  <si>
    <t>No CSP</t>
  </si>
  <si>
    <t>Inputs</t>
  </si>
  <si>
    <t>Results</t>
  </si>
  <si>
    <t>Cost ($)</t>
  </si>
  <si>
    <t>Capital Cost:</t>
  </si>
  <si>
    <t>LCOE ($/MWh):</t>
  </si>
  <si>
    <t>Total Load (MWh):</t>
  </si>
  <si>
    <t>Hours of Storage</t>
  </si>
  <si>
    <t>Generators</t>
  </si>
  <si>
    <t>Antigua Current Energy System</t>
  </si>
  <si>
    <t xml:space="preserve">Diesel </t>
  </si>
  <si>
    <t>Solar PV</t>
  </si>
  <si>
    <t>Capital Cost ($/MW)</t>
  </si>
  <si>
    <t>Marginal Cost ($/MWh)</t>
  </si>
  <si>
    <t>Energy Generated</t>
  </si>
  <si>
    <t>10 MW Diesel</t>
  </si>
  <si>
    <t>Diesel</t>
  </si>
  <si>
    <t>Energy Generation (MWh)</t>
  </si>
  <si>
    <t>5 MW Diesel</t>
  </si>
  <si>
    <t>No Restrictions</t>
  </si>
  <si>
    <t>3 MW Diesel</t>
  </si>
  <si>
    <t>Capacity Factor</t>
  </si>
  <si>
    <t>MW</t>
  </si>
  <si>
    <t>Sites</t>
  </si>
  <si>
    <t xml:space="preserve">West Indies Oil Company </t>
  </si>
  <si>
    <t>Crabbs Peninsula</t>
  </si>
  <si>
    <t>Area (m^2)</t>
  </si>
  <si>
    <t>Land Use By Renewable Source</t>
  </si>
  <si>
    <t>Renewable Source</t>
  </si>
  <si>
    <t>Area Use (acre/MW)</t>
  </si>
  <si>
    <t>??</t>
  </si>
  <si>
    <t>Land Use (m^2/MW)</t>
  </si>
  <si>
    <t>Land Use (km^2):</t>
  </si>
  <si>
    <t>Area (acres)</t>
  </si>
  <si>
    <t>Hydrogen Storage</t>
  </si>
  <si>
    <t>Hydrogen Fuel Cell</t>
  </si>
  <si>
    <t>Links</t>
  </si>
  <si>
    <t>Hydrogen Electrolyzer</t>
  </si>
  <si>
    <t>Capital Cost ($/kWh)</t>
  </si>
  <si>
    <t>Capital Cost ($/MWh)</t>
  </si>
  <si>
    <t>No Diesel</t>
  </si>
  <si>
    <t>min</t>
  </si>
  <si>
    <t>Limited Wind (&lt;25)</t>
  </si>
  <si>
    <t>No Batteries</t>
  </si>
  <si>
    <t>Bigger Batteries</t>
  </si>
  <si>
    <t>Current System</t>
  </si>
  <si>
    <t>Diesel System in 2035</t>
  </si>
  <si>
    <t>2020 load</t>
  </si>
  <si>
    <t>2035 load</t>
  </si>
  <si>
    <t>Power Generation (MWh)</t>
  </si>
  <si>
    <t>Small Diesel with limited batteries</t>
  </si>
  <si>
    <t>^Renewable Penetration^</t>
  </si>
  <si>
    <t>Available Industrial Land in Antigua</t>
  </si>
  <si>
    <t>Presentable Results</t>
  </si>
  <si>
    <t>Solar PV, Wind, and Batteries Only</t>
  </si>
  <si>
    <t>Scenarios</t>
  </si>
  <si>
    <t>25 MW Wind Max</t>
  </si>
  <si>
    <t>50 MW Wind Max</t>
  </si>
  <si>
    <t>100 MW Wind Max</t>
  </si>
  <si>
    <t>LCOE ($/MWh)</t>
  </si>
  <si>
    <t>Land Use (km^2)</t>
  </si>
  <si>
    <t>Solar PV (MW)</t>
  </si>
  <si>
    <t>Wind (MW)</t>
  </si>
  <si>
    <t>Utility Storage (MWh)</t>
  </si>
  <si>
    <t>Hours of Storage (Hours)</t>
  </si>
  <si>
    <t>CSP (MW)</t>
  </si>
  <si>
    <t>Utility Storage (MWh)/Hours of Storage</t>
  </si>
  <si>
    <t>CSP Thermal Storage (MWh)/Hours of Storage</t>
  </si>
  <si>
    <t>561/8</t>
  </si>
  <si>
    <t>542/7.75</t>
  </si>
  <si>
    <t>1680/24</t>
  </si>
  <si>
    <t>548/7.8</t>
  </si>
  <si>
    <t>182/2</t>
  </si>
  <si>
    <t>420/6</t>
  </si>
  <si>
    <t>Diesel (MW)</t>
  </si>
  <si>
    <t>Renewable Energy Penetration (%)</t>
  </si>
  <si>
    <t>Small Diesel Contribution</t>
  </si>
  <si>
    <t>Renewables with CSP</t>
  </si>
  <si>
    <t>Renewables with CSP &amp; Hydrogen Storage</t>
  </si>
  <si>
    <t>Limited Wind (&lt;25 MW)</t>
  </si>
  <si>
    <t>Hydrogen Storage (MWh)/Hours of Storage</t>
  </si>
  <si>
    <t>Hydrogen Electrolyzer (MW)</t>
  </si>
  <si>
    <t>Hydrogen Fuel Cell (MW)</t>
  </si>
  <si>
    <t>1014/14.5</t>
  </si>
  <si>
    <t>823/11.75</t>
  </si>
  <si>
    <t>N/A</t>
  </si>
  <si>
    <t>Antigua Current and Future Business as Usual System</t>
  </si>
  <si>
    <t>2035 System</t>
  </si>
  <si>
    <t>86% Renewable Penetration - Any</t>
  </si>
  <si>
    <t>86% Renewable Penetration - No Hydrogen</t>
  </si>
  <si>
    <t>86% Renewable Penetration - No Hydrogen or CSP</t>
  </si>
  <si>
    <t>km^2</t>
  </si>
  <si>
    <t>Constant 7 MW Diesel Contribution</t>
  </si>
  <si>
    <t>No Hydrogen</t>
  </si>
  <si>
    <t>No Hydrogen or CSP</t>
  </si>
  <si>
    <t>473/6.8</t>
  </si>
  <si>
    <t>463/6.6</t>
  </si>
  <si>
    <t>1804/129</t>
  </si>
  <si>
    <t>488/7</t>
  </si>
  <si>
    <t>1337/19.1</t>
  </si>
  <si>
    <t>1318/18.8</t>
  </si>
  <si>
    <t>No Restrictions - Higher Diesel MC</t>
  </si>
  <si>
    <t>MC - Marginal Cost</t>
  </si>
  <si>
    <t>Increased Solar Cost</t>
  </si>
  <si>
    <t>Increased Solar</t>
  </si>
  <si>
    <t>Sensitivity Tests</t>
  </si>
  <si>
    <t>Increased CSP Cost; 25MW Wind</t>
  </si>
  <si>
    <t>Decreased Solar Cost; 25MW Wind</t>
  </si>
  <si>
    <t>Decreased CSP Cost; 25MW Wind</t>
  </si>
  <si>
    <t>Sensitivity Tests Continued</t>
  </si>
  <si>
    <t>CSP CAPEX Increased</t>
  </si>
  <si>
    <t>CSP CAPEX Decreased</t>
  </si>
  <si>
    <t>562/8</t>
  </si>
  <si>
    <t>541/7.75</t>
  </si>
  <si>
    <t>Solar PV CAPEX Increased</t>
  </si>
  <si>
    <t>Solar PV CAPEX Decreased</t>
  </si>
  <si>
    <t>555/7.9</t>
  </si>
  <si>
    <t>1631/23.3</t>
  </si>
  <si>
    <t>30,000 houses with solar (4 kW per house)</t>
  </si>
  <si>
    <t>CSP Turbine</t>
  </si>
  <si>
    <t>CSP Solar Field</t>
  </si>
  <si>
    <t>Thermal Storage</t>
  </si>
  <si>
    <t>RE Penetration:</t>
  </si>
  <si>
    <t>CSP Solar Field (MW)</t>
  </si>
  <si>
    <t>CSP Turbine (MW)</t>
  </si>
  <si>
    <t>Cost:</t>
  </si>
  <si>
    <t>CSP Turbine  (MW)</t>
  </si>
  <si>
    <t>1433/23.9hr</t>
  </si>
  <si>
    <t>No CSP, limited wind &lt;25</t>
  </si>
  <si>
    <t>Increased CSP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</si>
</sst>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0" xfId="1" applyFont="1" applyBorder="1"/>
    <xf numFmtId="44" fontId="0" fillId="0" borderId="0" xfId="0" applyNumberFormat="1"/>
    <xf numFmtId="0" fontId="0" fillId="0" borderId="5" xfId="0" applyBorder="1"/>
    <xf numFmtId="0" fontId="0" fillId="5" borderId="4" xfId="0" applyFill="1" applyBorder="1"/>
    <xf numFmtId="0" fontId="0" fillId="0" borderId="6" xfId="0" applyBorder="1"/>
    <xf numFmtId="0" fontId="0" fillId="0" borderId="7" xfId="0" applyBorder="1"/>
    <xf numFmtId="44" fontId="0" fillId="0" borderId="7" xfId="1" applyFont="1" applyBorder="1"/>
    <xf numFmtId="164" fontId="0" fillId="0" borderId="0" xfId="0" applyNumberFormat="1"/>
    <xf numFmtId="0" fontId="0" fillId="6" borderId="7" xfId="0" applyFill="1" applyBorder="1"/>
    <xf numFmtId="44" fontId="0" fillId="6" borderId="7" xfId="0" applyNumberFormat="1" applyFill="1" applyBorder="1"/>
    <xf numFmtId="2" fontId="0" fillId="6" borderId="8" xfId="0" applyNumberFormat="1" applyFill="1" applyBorder="1"/>
    <xf numFmtId="0" fontId="0" fillId="5" borderId="1" xfId="0" applyFill="1" applyBorder="1"/>
    <xf numFmtId="165" fontId="0" fillId="0" borderId="0" xfId="2" applyNumberFormat="1" applyFont="1"/>
    <xf numFmtId="43" fontId="0" fillId="0" borderId="0" xfId="3" applyFont="1"/>
    <xf numFmtId="166" fontId="0" fillId="0" borderId="0" xfId="0" applyNumberFormat="1"/>
    <xf numFmtId="43" fontId="0" fillId="0" borderId="0" xfId="0" applyNumberFormat="1"/>
    <xf numFmtId="9" fontId="0" fillId="0" borderId="0" xfId="2" applyFont="1"/>
    <xf numFmtId="2" fontId="0" fillId="0" borderId="0" xfId="0" applyNumberFormat="1"/>
    <xf numFmtId="167" fontId="0" fillId="0" borderId="0" xfId="0" applyNumberFormat="1"/>
    <xf numFmtId="0" fontId="0" fillId="7" borderId="0" xfId="0" applyFill="1"/>
    <xf numFmtId="0" fontId="0" fillId="9" borderId="9" xfId="0" applyFill="1" applyBorder="1"/>
    <xf numFmtId="0" fontId="0" fillId="8" borderId="9" xfId="0" applyFill="1" applyBorder="1"/>
    <xf numFmtId="2" fontId="0" fillId="0" borderId="9" xfId="0" applyNumberFormat="1" applyBorder="1"/>
    <xf numFmtId="167" fontId="0" fillId="0" borderId="9" xfId="0" applyNumberFormat="1" applyBorder="1"/>
    <xf numFmtId="166" fontId="0" fillId="0" borderId="9" xfId="0" applyNumberFormat="1" applyBorder="1"/>
    <xf numFmtId="0" fontId="0" fillId="0" borderId="9" xfId="0" applyBorder="1"/>
    <xf numFmtId="0" fontId="0" fillId="0" borderId="9" xfId="0" applyBorder="1" applyAlignment="1">
      <alignment horizontal="right"/>
    </xf>
    <xf numFmtId="0" fontId="0" fillId="7" borderId="9" xfId="0" applyFill="1" applyBorder="1"/>
    <xf numFmtId="2" fontId="0" fillId="0" borderId="9" xfId="0" applyNumberFormat="1" applyBorder="1" applyAlignment="1">
      <alignment horizontal="right"/>
    </xf>
    <xf numFmtId="167" fontId="0" fillId="0" borderId="9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" fontId="0" fillId="0" borderId="9" xfId="0" applyNumberFormat="1" applyBorder="1"/>
    <xf numFmtId="0" fontId="0" fillId="8" borderId="0" xfId="0" applyFill="1"/>
    <xf numFmtId="0" fontId="0" fillId="0" borderId="0" xfId="0" applyAlignment="1">
      <alignment horizontal="right"/>
    </xf>
    <xf numFmtId="0" fontId="0" fillId="3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276225</xdr:colOff>
      <xdr:row>56</xdr:row>
      <xdr:rowOff>132254</xdr:rowOff>
    </xdr:from>
    <xdr:to>
      <xdr:col>12</xdr:col>
      <xdr:colOff>875233</xdr:colOff>
      <xdr:row>71</xdr:row>
      <xdr:rowOff>26671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A6AD15-1483-32C0-0D64-D637E2B3A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15650" y="8761904"/>
          <a:ext cx="4675708" cy="2637617"/>
        </a:xfrm>
        <a:prstGeom prst="rect">
          <a:avLst/>
        </a:prstGeom>
      </xdr:spPr>
    </xdr:pic>
    <xdr:clientData/>
  </xdr:twoCellAnchor>
  <xdr:twoCellAnchor editAs="oneCell">
    <xdr:from>
      <xdr:col>9</xdr:col>
      <xdr:colOff>205322</xdr:colOff>
      <xdr:row>1</xdr:row>
      <xdr:rowOff>160019</xdr:rowOff>
    </xdr:from>
    <xdr:to>
      <xdr:col>13</xdr:col>
      <xdr:colOff>323851</xdr:colOff>
      <xdr:row>16</xdr:row>
      <xdr:rowOff>38098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89A297-09EB-4D4B-8887-E24DF43F2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3822" y="342899"/>
          <a:ext cx="5189638" cy="2647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142321</xdr:colOff>
      <xdr:row>19</xdr:row>
      <xdr:rowOff>47593</xdr:rowOff>
    </xdr:from>
    <xdr:to>
      <xdr:col>13</xdr:col>
      <xdr:colOff>448227</xdr:colOff>
      <xdr:row>33</xdr:row>
      <xdr:rowOff>172402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DA04B7-8153-05B3-F862-24C1350C2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210496" y="3533743"/>
          <a:ext cx="5371301" cy="2696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181292</xdr:colOff>
      <xdr:row>37</xdr:row>
      <xdr:rowOff>142583</xdr:rowOff>
    </xdr:from>
    <xdr:to>
      <xdr:col>13</xdr:col>
      <xdr:colOff>380072</xdr:colOff>
      <xdr:row>52</xdr:row>
      <xdr:rowOff>45720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678AAF-FB92-CF62-D4C5-0BA95AB4B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249467" y="6933908"/>
          <a:ext cx="5266080" cy="2665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D19A-8B06-4070-AFF4-6F1403ADB2F5}">
  <dimension ref="A1:P120"/>
  <sheetViews>
    <sheetView topLeftCell="A10" zoomScaleNormal="100" workbookViewId="0">
      <selection activeCell="P15" sqref="P15"/>
    </sheetView>
  </sheetViews>
  <sheetFormatPr defaultRowHeight="14.4" x14ac:dyDescent="0.55000000000000004"/>
  <cols>
    <col min="1" max="1" width="18.15625" bestFit="1" customWidth="1"/>
    <col min="2" max="2" width="17.83984375" bestFit="1" customWidth="1"/>
    <col min="3" max="3" width="19.41796875" bestFit="1" customWidth="1"/>
    <col min="5" max="5" width="12.83984375" bestFit="1" customWidth="1"/>
    <col min="6" max="6" width="16.62890625" bestFit="1" customWidth="1"/>
    <col min="7" max="8" width="15.3125" customWidth="1"/>
    <col min="9" max="9" width="14.3125" bestFit="1" customWidth="1"/>
    <col min="11" max="11" width="15.3125" bestFit="1" customWidth="1"/>
    <col min="13" max="13" width="37.3671875" bestFit="1" customWidth="1"/>
    <col min="14" max="14" width="15.05078125" bestFit="1" customWidth="1"/>
    <col min="15" max="15" width="19.578125" bestFit="1" customWidth="1"/>
    <col min="16" max="16" width="16.05078125" bestFit="1" customWidth="1"/>
  </cols>
  <sheetData>
    <row r="1" spans="1:16" x14ac:dyDescent="0.55000000000000004">
      <c r="A1" t="s">
        <v>48</v>
      </c>
      <c r="K1" t="s">
        <v>20</v>
      </c>
      <c r="L1">
        <v>437087.06999999972</v>
      </c>
    </row>
    <row r="2" spans="1:16" ht="14.7" thickBot="1" x14ac:dyDescent="0.6"/>
    <row r="3" spans="1:16" ht="14.7" thickBot="1" x14ac:dyDescent="0.6">
      <c r="A3" s="3" t="s">
        <v>33</v>
      </c>
      <c r="B3" s="41" t="s">
        <v>15</v>
      </c>
      <c r="C3" s="41"/>
      <c r="E3" s="42" t="s">
        <v>16</v>
      </c>
      <c r="F3" s="42"/>
      <c r="G3" s="42"/>
      <c r="H3" s="42"/>
      <c r="I3" s="42"/>
    </row>
    <row r="4" spans="1:16" x14ac:dyDescent="0.55000000000000004">
      <c r="A4" s="18" t="s">
        <v>22</v>
      </c>
      <c r="B4" s="4" t="s">
        <v>26</v>
      </c>
      <c r="C4" s="4" t="s">
        <v>27</v>
      </c>
      <c r="D4" s="4"/>
      <c r="E4" s="4" t="s">
        <v>36</v>
      </c>
      <c r="F4" s="4" t="s">
        <v>17</v>
      </c>
      <c r="G4" s="4" t="s">
        <v>31</v>
      </c>
      <c r="H4" s="4" t="s">
        <v>35</v>
      </c>
      <c r="I4" s="5" t="s">
        <v>2</v>
      </c>
      <c r="M4" s="43" t="s">
        <v>92</v>
      </c>
      <c r="N4" s="43"/>
      <c r="O4" s="43"/>
      <c r="P4" s="43"/>
    </row>
    <row r="5" spans="1:16" x14ac:dyDescent="0.55000000000000004">
      <c r="A5" s="6" t="s">
        <v>3</v>
      </c>
      <c r="B5" s="14">
        <v>116276</v>
      </c>
      <c r="E5">
        <v>90</v>
      </c>
      <c r="F5" s="8">
        <f>E5*B5</f>
        <v>10464840</v>
      </c>
      <c r="G5">
        <v>302151</v>
      </c>
      <c r="H5" s="19">
        <f t="shared" ref="H5:H7" si="0">G5/(E5*8760)</f>
        <v>0.38324581430745813</v>
      </c>
      <c r="I5" s="9" t="s">
        <v>9</v>
      </c>
      <c r="M5" s="27" t="s">
        <v>69</v>
      </c>
      <c r="N5" s="27" t="s">
        <v>33</v>
      </c>
      <c r="O5" s="27" t="s">
        <v>93</v>
      </c>
      <c r="P5" s="27" t="s">
        <v>14</v>
      </c>
    </row>
    <row r="6" spans="1:16" x14ac:dyDescent="0.55000000000000004">
      <c r="A6" s="6" t="s">
        <v>4</v>
      </c>
      <c r="B6" s="14">
        <v>75772</v>
      </c>
      <c r="E6">
        <v>103</v>
      </c>
      <c r="F6" s="8">
        <f>E6*B6</f>
        <v>7804516</v>
      </c>
      <c r="G6">
        <v>88031</v>
      </c>
      <c r="H6" s="19">
        <f t="shared" si="0"/>
        <v>9.756505741011659E-2</v>
      </c>
      <c r="I6" s="9" t="s">
        <v>9</v>
      </c>
      <c r="M6" s="28" t="s">
        <v>73</v>
      </c>
      <c r="N6" s="29">
        <f>I37</f>
        <v>122.48228711043782</v>
      </c>
      <c r="O6" s="29">
        <f>I54</f>
        <v>129.82476008727514</v>
      </c>
      <c r="P6" s="29">
        <f>I84</f>
        <v>127.28499152354252</v>
      </c>
    </row>
    <row r="7" spans="1:16" x14ac:dyDescent="0.55000000000000004">
      <c r="A7" s="6" t="s">
        <v>134</v>
      </c>
      <c r="B7" s="7">
        <v>226540</v>
      </c>
      <c r="E7">
        <v>0</v>
      </c>
      <c r="F7" s="8">
        <f t="shared" ref="F7:F8" si="1">E7*B7</f>
        <v>0</v>
      </c>
      <c r="G7">
        <v>0</v>
      </c>
      <c r="H7" s="19" t="e">
        <f t="shared" si="0"/>
        <v>#DIV/0!</v>
      </c>
      <c r="I7" s="9" t="s">
        <v>55</v>
      </c>
      <c r="M7" s="28" t="s">
        <v>74</v>
      </c>
      <c r="N7" s="30">
        <f>I38</f>
        <v>5.1225153880000001</v>
      </c>
      <c r="O7" s="30">
        <f>I55</f>
        <v>6.4948056140000006</v>
      </c>
      <c r="P7" s="31">
        <f>I85</f>
        <v>7.3426227840000013</v>
      </c>
    </row>
    <row r="8" spans="1:16" x14ac:dyDescent="0.55000000000000004">
      <c r="A8" s="6" t="s">
        <v>30</v>
      </c>
      <c r="B8" s="14">
        <v>154460</v>
      </c>
      <c r="C8" s="14">
        <v>170</v>
      </c>
      <c r="E8">
        <v>37</v>
      </c>
      <c r="F8" s="8">
        <f t="shared" si="1"/>
        <v>5715020</v>
      </c>
      <c r="G8">
        <v>52924</v>
      </c>
      <c r="H8" s="19">
        <f>G8/(E8*8760)</f>
        <v>0.1632852030112304</v>
      </c>
      <c r="I8" s="9" t="s">
        <v>9</v>
      </c>
      <c r="M8" s="28" t="s">
        <v>75</v>
      </c>
      <c r="N8" s="32">
        <f>E25</f>
        <v>289</v>
      </c>
      <c r="O8" s="32">
        <f>E42</f>
        <v>362</v>
      </c>
      <c r="P8" s="32">
        <f>E75</f>
        <v>432</v>
      </c>
    </row>
    <row r="9" spans="1:16" ht="14.7" thickBot="1" x14ac:dyDescent="0.6">
      <c r="A9" s="6"/>
      <c r="B9" s="7"/>
      <c r="I9" s="9"/>
      <c r="M9" s="28" t="s">
        <v>76</v>
      </c>
      <c r="N9" s="32">
        <f>E24</f>
        <v>58</v>
      </c>
      <c r="O9" s="32">
        <f>E41</f>
        <v>25</v>
      </c>
      <c r="P9" s="32">
        <f>E74</f>
        <v>25</v>
      </c>
    </row>
    <row r="10" spans="1:16" x14ac:dyDescent="0.55000000000000004">
      <c r="A10" s="10" t="s">
        <v>6</v>
      </c>
      <c r="B10" t="s">
        <v>53</v>
      </c>
      <c r="C10" t="s">
        <v>10</v>
      </c>
      <c r="E10" t="s">
        <v>1</v>
      </c>
      <c r="G10" t="s">
        <v>21</v>
      </c>
      <c r="I10" s="5" t="s">
        <v>2</v>
      </c>
      <c r="M10" s="28" t="s">
        <v>137</v>
      </c>
      <c r="N10" s="32">
        <f>E26</f>
        <v>8</v>
      </c>
      <c r="O10" s="32">
        <f>E43</f>
        <v>13</v>
      </c>
      <c r="P10" s="32" t="s">
        <v>99</v>
      </c>
    </row>
    <row r="11" spans="1:16" x14ac:dyDescent="0.55000000000000004">
      <c r="A11" s="10"/>
      <c r="I11" s="9"/>
      <c r="M11" s="28" t="s">
        <v>140</v>
      </c>
      <c r="N11" s="32">
        <f>E34</f>
        <v>53</v>
      </c>
      <c r="O11" s="32">
        <f>E51</f>
        <v>60</v>
      </c>
      <c r="P11" s="32" t="s">
        <v>99</v>
      </c>
    </row>
    <row r="12" spans="1:16" x14ac:dyDescent="0.55000000000000004">
      <c r="A12" s="6" t="s">
        <v>7</v>
      </c>
      <c r="B12" s="1">
        <v>15700</v>
      </c>
      <c r="C12">
        <v>0</v>
      </c>
      <c r="E12">
        <v>176</v>
      </c>
      <c r="F12" s="8">
        <f>E12*B12</f>
        <v>2763200</v>
      </c>
      <c r="G12" s="25">
        <f>E12/70</f>
        <v>2.5142857142857142</v>
      </c>
      <c r="I12" s="9" t="s">
        <v>9</v>
      </c>
      <c r="M12" s="28" t="s">
        <v>80</v>
      </c>
      <c r="N12" s="33" t="s">
        <v>87</v>
      </c>
      <c r="O12" s="33" t="s">
        <v>87</v>
      </c>
      <c r="P12" s="33" t="s">
        <v>87</v>
      </c>
    </row>
    <row r="13" spans="1:16" x14ac:dyDescent="0.55000000000000004">
      <c r="A13" s="6" t="s">
        <v>135</v>
      </c>
      <c r="B13" s="1">
        <v>4290</v>
      </c>
      <c r="C13">
        <v>0</v>
      </c>
      <c r="E13">
        <v>0</v>
      </c>
      <c r="F13" s="8">
        <f>E13*B13</f>
        <v>0</v>
      </c>
      <c r="G13" s="25">
        <f>E13/60</f>
        <v>0</v>
      </c>
      <c r="I13" s="9" t="s">
        <v>55</v>
      </c>
      <c r="M13" s="28" t="s">
        <v>81</v>
      </c>
      <c r="N13" s="33" t="s">
        <v>97</v>
      </c>
      <c r="O13" s="33" t="s">
        <v>98</v>
      </c>
      <c r="P13" s="33" t="s">
        <v>99</v>
      </c>
    </row>
    <row r="14" spans="1:16" x14ac:dyDescent="0.55000000000000004">
      <c r="A14" s="6" t="s">
        <v>48</v>
      </c>
      <c r="B14" s="1">
        <v>2860</v>
      </c>
      <c r="C14">
        <v>1</v>
      </c>
      <c r="E14">
        <v>111</v>
      </c>
      <c r="F14" s="8">
        <f t="shared" ref="F14:F19" si="2">E14*B14</f>
        <v>317460</v>
      </c>
      <c r="G14" s="25">
        <f>IF(E19&gt;0,E14/E19,0)</f>
        <v>27.75</v>
      </c>
      <c r="I14" s="9" t="s">
        <v>9</v>
      </c>
      <c r="M14" s="28" t="s">
        <v>94</v>
      </c>
      <c r="N14" s="32">
        <f>E31</f>
        <v>1721</v>
      </c>
      <c r="O14" s="32">
        <f>E48</f>
        <v>885</v>
      </c>
      <c r="P14" s="32">
        <f>E79</f>
        <v>2000</v>
      </c>
    </row>
    <row r="15" spans="1:16" ht="14.7" thickBot="1" x14ac:dyDescent="0.6">
      <c r="A15" s="6"/>
      <c r="B15" s="1"/>
      <c r="F15" s="8"/>
      <c r="I15" s="9"/>
      <c r="M15" s="28" t="s">
        <v>95</v>
      </c>
      <c r="N15" s="33">
        <f>E35</f>
        <v>23</v>
      </c>
      <c r="O15" s="33">
        <f>E52</f>
        <v>41</v>
      </c>
      <c r="P15" s="33">
        <f>E82</f>
        <v>67</v>
      </c>
    </row>
    <row r="16" spans="1:16" x14ac:dyDescent="0.55000000000000004">
      <c r="A16" s="10" t="s">
        <v>50</v>
      </c>
      <c r="B16" s="4" t="s">
        <v>26</v>
      </c>
      <c r="E16" t="s">
        <v>36</v>
      </c>
      <c r="F16" s="8"/>
      <c r="I16" s="5" t="s">
        <v>2</v>
      </c>
      <c r="M16" s="28" t="s">
        <v>96</v>
      </c>
      <c r="N16" s="33">
        <f>E36</f>
        <v>15</v>
      </c>
      <c r="O16" s="33">
        <f>E53</f>
        <v>17</v>
      </c>
      <c r="P16" s="33">
        <f>E83</f>
        <v>45</v>
      </c>
    </row>
    <row r="17" spans="1:11" x14ac:dyDescent="0.55000000000000004">
      <c r="A17" s="6" t="s">
        <v>133</v>
      </c>
      <c r="B17" s="1">
        <v>65216</v>
      </c>
      <c r="E17">
        <v>0</v>
      </c>
      <c r="F17" s="8">
        <f t="shared" ref="F17" si="3">E17*B17</f>
        <v>0</v>
      </c>
      <c r="I17" s="9" t="s">
        <v>9</v>
      </c>
    </row>
    <row r="18" spans="1:11" x14ac:dyDescent="0.55000000000000004">
      <c r="A18" s="6" t="s">
        <v>51</v>
      </c>
      <c r="B18" s="1">
        <v>85810</v>
      </c>
      <c r="E18">
        <v>1</v>
      </c>
      <c r="F18" s="8">
        <f t="shared" si="2"/>
        <v>85810</v>
      </c>
      <c r="I18" s="9" t="s">
        <v>9</v>
      </c>
    </row>
    <row r="19" spans="1:11" x14ac:dyDescent="0.55000000000000004">
      <c r="A19" s="6" t="s">
        <v>49</v>
      </c>
      <c r="B19" s="1">
        <v>42910</v>
      </c>
      <c r="E19">
        <v>4</v>
      </c>
      <c r="F19" s="8">
        <f t="shared" si="2"/>
        <v>171640</v>
      </c>
      <c r="I19" s="9" t="s">
        <v>9</v>
      </c>
    </row>
    <row r="20" spans="1:11" ht="14.7" thickBot="1" x14ac:dyDescent="0.6">
      <c r="A20" s="11"/>
      <c r="B20" s="13"/>
      <c r="C20" s="12"/>
      <c r="D20" s="12"/>
      <c r="E20" s="15" t="s">
        <v>139</v>
      </c>
      <c r="F20" s="16">
        <f>SUM(F5:F19)+G8*C8</f>
        <v>36319566</v>
      </c>
      <c r="G20" s="15" t="s">
        <v>19</v>
      </c>
      <c r="H20" s="15"/>
      <c r="I20" s="17">
        <f>F20/$L$1</f>
        <v>83.094578844439454</v>
      </c>
      <c r="K20" s="1"/>
    </row>
    <row r="21" spans="1:11" ht="14.7" thickBot="1" x14ac:dyDescent="0.6">
      <c r="G21" t="s">
        <v>46</v>
      </c>
      <c r="I21" s="21">
        <f>(E6*'Available Land_Plant Land Use'!$D$13+E7*'Available Land_Plant Land Use'!$D$14)/1000000</f>
        <v>1.7506716360000001</v>
      </c>
      <c r="K21" s="2"/>
    </row>
    <row r="22" spans="1:11" ht="14.7" thickBot="1" x14ac:dyDescent="0.6">
      <c r="A22" s="3" t="s">
        <v>54</v>
      </c>
      <c r="G22" t="s">
        <v>136</v>
      </c>
      <c r="H22" s="19">
        <f>1-(G8/L1)</f>
        <v>0.87891657376183641</v>
      </c>
      <c r="I22" s="21"/>
      <c r="K22" s="2"/>
    </row>
    <row r="23" spans="1:11" x14ac:dyDescent="0.55000000000000004">
      <c r="A23" s="18" t="s">
        <v>22</v>
      </c>
      <c r="B23" s="4" t="s">
        <v>26</v>
      </c>
      <c r="C23" s="4" t="s">
        <v>27</v>
      </c>
      <c r="D23" s="4"/>
      <c r="E23" s="4" t="s">
        <v>36</v>
      </c>
      <c r="F23" s="4" t="s">
        <v>17</v>
      </c>
      <c r="G23" s="4" t="s">
        <v>31</v>
      </c>
      <c r="H23" s="4" t="s">
        <v>35</v>
      </c>
      <c r="I23" s="5" t="s">
        <v>2</v>
      </c>
    </row>
    <row r="24" spans="1:11" x14ac:dyDescent="0.55000000000000004">
      <c r="A24" s="6" t="s">
        <v>3</v>
      </c>
      <c r="B24" s="14">
        <v>116276</v>
      </c>
      <c r="E24">
        <v>58</v>
      </c>
      <c r="F24" s="8">
        <f>E24*B24</f>
        <v>6744008</v>
      </c>
      <c r="G24">
        <v>213341</v>
      </c>
      <c r="H24" s="19">
        <f t="shared" ref="H24:H26" si="4">G24/(E24*8760)</f>
        <v>0.4198964729963785</v>
      </c>
      <c r="I24" s="9" t="s">
        <v>9</v>
      </c>
    </row>
    <row r="25" spans="1:11" x14ac:dyDescent="0.55000000000000004">
      <c r="A25" s="6" t="s">
        <v>4</v>
      </c>
      <c r="B25" s="14">
        <v>75772</v>
      </c>
      <c r="E25">
        <v>289</v>
      </c>
      <c r="F25" s="8">
        <f>E25*B25</f>
        <v>21898108</v>
      </c>
      <c r="G25">
        <v>238168</v>
      </c>
      <c r="H25" s="19">
        <f t="shared" si="4"/>
        <v>9.4076566968447337E-2</v>
      </c>
      <c r="I25" s="9" t="s">
        <v>9</v>
      </c>
    </row>
    <row r="26" spans="1:11" x14ac:dyDescent="0.55000000000000004">
      <c r="A26" s="6" t="s">
        <v>134</v>
      </c>
      <c r="B26" s="7">
        <v>226540</v>
      </c>
      <c r="E26">
        <v>8</v>
      </c>
      <c r="F26" s="8">
        <f>E26*B26</f>
        <v>1812320</v>
      </c>
      <c r="G26">
        <v>12462</v>
      </c>
      <c r="H26" s="19">
        <f t="shared" si="4"/>
        <v>0.17782534246575343</v>
      </c>
      <c r="I26" s="9" t="s">
        <v>9</v>
      </c>
    </row>
    <row r="27" spans="1:11" ht="14.7" thickBot="1" x14ac:dyDescent="0.6">
      <c r="A27" s="6"/>
      <c r="B27" s="7"/>
      <c r="H27" s="19"/>
      <c r="I27" s="9"/>
    </row>
    <row r="28" spans="1:11" x14ac:dyDescent="0.55000000000000004">
      <c r="A28" s="10" t="s">
        <v>6</v>
      </c>
      <c r="B28" t="s">
        <v>53</v>
      </c>
      <c r="C28" t="s">
        <v>10</v>
      </c>
      <c r="E28" t="s">
        <v>1</v>
      </c>
      <c r="G28" t="s">
        <v>21</v>
      </c>
      <c r="I28" s="5" t="s">
        <v>2</v>
      </c>
    </row>
    <row r="29" spans="1:11" x14ac:dyDescent="0.55000000000000004">
      <c r="A29" s="6" t="s">
        <v>7</v>
      </c>
      <c r="B29" s="1">
        <v>15700</v>
      </c>
      <c r="C29">
        <v>29</v>
      </c>
      <c r="E29">
        <v>420</v>
      </c>
      <c r="F29" s="8">
        <f>E29*B29</f>
        <v>6594000</v>
      </c>
      <c r="G29">
        <f>E29/70</f>
        <v>6</v>
      </c>
      <c r="I29" s="9" t="s">
        <v>8</v>
      </c>
    </row>
    <row r="30" spans="1:11" x14ac:dyDescent="0.55000000000000004">
      <c r="A30" s="6" t="s">
        <v>135</v>
      </c>
      <c r="B30" s="1">
        <v>4290</v>
      </c>
      <c r="C30">
        <v>0</v>
      </c>
      <c r="E30">
        <v>1280</v>
      </c>
      <c r="F30" s="8">
        <f>E30*B30</f>
        <v>5491200</v>
      </c>
      <c r="G30" s="25">
        <f>E30/E34</f>
        <v>24.150943396226417</v>
      </c>
      <c r="I30" s="9" t="s">
        <v>9</v>
      </c>
    </row>
    <row r="31" spans="1:11" x14ac:dyDescent="0.55000000000000004">
      <c r="A31" s="6" t="s">
        <v>48</v>
      </c>
      <c r="B31" s="1">
        <v>2860</v>
      </c>
      <c r="C31">
        <v>0</v>
      </c>
      <c r="E31">
        <v>1721</v>
      </c>
      <c r="F31" s="8">
        <f t="shared" ref="F31:F36" si="5">E31*B31</f>
        <v>4922060</v>
      </c>
      <c r="G31" s="25">
        <f>IF(E36&gt;0,E31/E36,0)</f>
        <v>114.73333333333333</v>
      </c>
      <c r="I31" s="9" t="s">
        <v>8</v>
      </c>
    </row>
    <row r="32" spans="1:11" ht="14.7" thickBot="1" x14ac:dyDescent="0.6">
      <c r="A32" s="6"/>
      <c r="B32" s="1"/>
      <c r="F32" s="8"/>
      <c r="I32" s="9"/>
    </row>
    <row r="33" spans="1:9" x14ac:dyDescent="0.55000000000000004">
      <c r="A33" s="10" t="s">
        <v>50</v>
      </c>
      <c r="B33" s="4" t="s">
        <v>26</v>
      </c>
      <c r="E33" t="s">
        <v>36</v>
      </c>
      <c r="F33" s="8"/>
      <c r="I33" s="5" t="s">
        <v>2</v>
      </c>
    </row>
    <row r="34" spans="1:9" x14ac:dyDescent="0.55000000000000004">
      <c r="A34" s="6" t="s">
        <v>133</v>
      </c>
      <c r="B34" s="1">
        <v>65216</v>
      </c>
      <c r="E34">
        <v>53</v>
      </c>
      <c r="F34" s="8">
        <f t="shared" ref="F34" si="6">E34*B34</f>
        <v>3456448</v>
      </c>
      <c r="I34" s="9" t="s">
        <v>9</v>
      </c>
    </row>
    <row r="35" spans="1:9" x14ac:dyDescent="0.55000000000000004">
      <c r="A35" s="6" t="s">
        <v>51</v>
      </c>
      <c r="B35" s="1">
        <v>85810</v>
      </c>
      <c r="E35">
        <v>23</v>
      </c>
      <c r="F35" s="8">
        <f t="shared" si="5"/>
        <v>1973630</v>
      </c>
      <c r="I35" s="9" t="s">
        <v>9</v>
      </c>
    </row>
    <row r="36" spans="1:9" ht="15.3" customHeight="1" x14ac:dyDescent="0.55000000000000004">
      <c r="A36" s="6" t="s">
        <v>49</v>
      </c>
      <c r="B36" s="1">
        <v>42910</v>
      </c>
      <c r="E36">
        <v>15</v>
      </c>
      <c r="F36" s="8">
        <f t="shared" si="5"/>
        <v>643650</v>
      </c>
      <c r="I36" s="9" t="s">
        <v>9</v>
      </c>
    </row>
    <row r="37" spans="1:9" ht="14.7" thickBot="1" x14ac:dyDescent="0.6">
      <c r="A37" s="11"/>
      <c r="B37" s="13"/>
      <c r="C37" s="12"/>
      <c r="D37" s="12"/>
      <c r="E37" s="15" t="s">
        <v>18</v>
      </c>
      <c r="F37" s="16">
        <f>SUM(F24:F36)</f>
        <v>53535424</v>
      </c>
      <c r="G37" s="15" t="s">
        <v>19</v>
      </c>
      <c r="H37" s="15"/>
      <c r="I37" s="17">
        <f>F37/$L$1</f>
        <v>122.48228711043782</v>
      </c>
    </row>
    <row r="38" spans="1:9" ht="14.7" thickBot="1" x14ac:dyDescent="0.6">
      <c r="G38" t="s">
        <v>46</v>
      </c>
      <c r="I38" s="21">
        <f>(E25*'Available Land_Plant Land Use'!$D$13+E26*'Available Land_Plant Land Use'!$D$14)/1000000</f>
        <v>5.1225153880000001</v>
      </c>
    </row>
    <row r="39" spans="1:9" ht="14.7" thickBot="1" x14ac:dyDescent="0.6">
      <c r="A39" s="3" t="s">
        <v>56</v>
      </c>
      <c r="I39" s="21"/>
    </row>
    <row r="40" spans="1:9" x14ac:dyDescent="0.55000000000000004">
      <c r="A40" s="18" t="s">
        <v>22</v>
      </c>
      <c r="B40" s="4" t="s">
        <v>26</v>
      </c>
      <c r="C40" s="4" t="s">
        <v>27</v>
      </c>
      <c r="D40" s="4"/>
      <c r="E40" s="4" t="s">
        <v>36</v>
      </c>
      <c r="F40" s="4" t="s">
        <v>17</v>
      </c>
      <c r="G40" s="4" t="s">
        <v>31</v>
      </c>
      <c r="H40" s="4" t="s">
        <v>35</v>
      </c>
      <c r="I40" s="5" t="s">
        <v>2</v>
      </c>
    </row>
    <row r="41" spans="1:9" x14ac:dyDescent="0.55000000000000004">
      <c r="A41" s="6" t="s">
        <v>3</v>
      </c>
      <c r="B41" s="14">
        <v>116276</v>
      </c>
      <c r="E41">
        <v>25</v>
      </c>
      <c r="F41" s="8">
        <f>E41*B41</f>
        <v>2906900</v>
      </c>
      <c r="G41">
        <v>90484</v>
      </c>
      <c r="H41" s="19">
        <f t="shared" ref="H41:H43" si="7">G41/(E41*8760)</f>
        <v>0.4131689497716895</v>
      </c>
      <c r="I41" s="9" t="s">
        <v>8</v>
      </c>
    </row>
    <row r="42" spans="1:9" x14ac:dyDescent="0.55000000000000004">
      <c r="A42" s="6" t="s">
        <v>4</v>
      </c>
      <c r="B42" s="14">
        <v>75772</v>
      </c>
      <c r="E42">
        <v>362</v>
      </c>
      <c r="F42" s="8">
        <f>E42*B42</f>
        <v>27429464</v>
      </c>
      <c r="G42">
        <v>371844</v>
      </c>
      <c r="H42" s="19">
        <f t="shared" si="7"/>
        <v>0.11725951714220843</v>
      </c>
      <c r="I42" s="9" t="s">
        <v>9</v>
      </c>
    </row>
    <row r="43" spans="1:9" x14ac:dyDescent="0.55000000000000004">
      <c r="A43" s="6" t="s">
        <v>134</v>
      </c>
      <c r="B43" s="7">
        <v>226540</v>
      </c>
      <c r="E43">
        <v>13</v>
      </c>
      <c r="F43" s="8">
        <f>E43*B43</f>
        <v>2945020</v>
      </c>
      <c r="G43">
        <v>20094</v>
      </c>
      <c r="H43" s="19">
        <f t="shared" si="7"/>
        <v>0.17644889357218124</v>
      </c>
      <c r="I43" s="9" t="s">
        <v>9</v>
      </c>
    </row>
    <row r="44" spans="1:9" ht="14.7" thickBot="1" x14ac:dyDescent="0.6">
      <c r="A44" s="6"/>
      <c r="B44" s="7"/>
      <c r="I44" s="9"/>
    </row>
    <row r="45" spans="1:9" x14ac:dyDescent="0.55000000000000004">
      <c r="A45" s="10" t="s">
        <v>6</v>
      </c>
      <c r="B45" t="s">
        <v>53</v>
      </c>
      <c r="C45" t="s">
        <v>10</v>
      </c>
      <c r="E45" t="s">
        <v>1</v>
      </c>
      <c r="G45" t="s">
        <v>21</v>
      </c>
      <c r="I45" s="5" t="s">
        <v>2</v>
      </c>
    </row>
    <row r="46" spans="1:9" x14ac:dyDescent="0.55000000000000004">
      <c r="A46" s="6" t="s">
        <v>7</v>
      </c>
      <c r="B46" s="1">
        <v>15700</v>
      </c>
      <c r="C46">
        <v>101</v>
      </c>
      <c r="E46">
        <v>420</v>
      </c>
      <c r="F46" s="8">
        <f>E46*B46</f>
        <v>6594000</v>
      </c>
      <c r="G46">
        <f>E46/70</f>
        <v>6</v>
      </c>
      <c r="I46" s="9" t="s">
        <v>8</v>
      </c>
    </row>
    <row r="47" spans="1:9" x14ac:dyDescent="0.55000000000000004">
      <c r="A47" s="6" t="s">
        <v>135</v>
      </c>
      <c r="B47" s="1">
        <v>4290</v>
      </c>
      <c r="C47">
        <v>405</v>
      </c>
      <c r="E47">
        <v>1440</v>
      </c>
      <c r="F47" s="8">
        <f>E47*B47</f>
        <v>6177600</v>
      </c>
      <c r="G47" s="25">
        <f>E47/E51</f>
        <v>24</v>
      </c>
      <c r="I47" s="9" t="s">
        <v>9</v>
      </c>
    </row>
    <row r="48" spans="1:9" x14ac:dyDescent="0.55000000000000004">
      <c r="A48" s="6" t="s">
        <v>48</v>
      </c>
      <c r="B48" s="1">
        <v>2860</v>
      </c>
      <c r="C48">
        <v>104</v>
      </c>
      <c r="E48">
        <v>885</v>
      </c>
      <c r="F48" s="8">
        <f>E48*B48</f>
        <v>2531100</v>
      </c>
      <c r="G48" s="25">
        <f>IF(E53&gt;0,E48/E53,0)</f>
        <v>52.058823529411768</v>
      </c>
      <c r="I48" s="9" t="s">
        <v>9</v>
      </c>
    </row>
    <row r="49" spans="1:9" ht="14.7" thickBot="1" x14ac:dyDescent="0.6">
      <c r="A49" s="6"/>
      <c r="B49" s="1"/>
      <c r="F49" s="8"/>
      <c r="I49" s="9"/>
    </row>
    <row r="50" spans="1:9" x14ac:dyDescent="0.55000000000000004">
      <c r="A50" s="10" t="s">
        <v>50</v>
      </c>
      <c r="B50" s="4" t="s">
        <v>26</v>
      </c>
      <c r="E50" t="s">
        <v>36</v>
      </c>
      <c r="F50" s="8"/>
      <c r="I50" s="5" t="s">
        <v>2</v>
      </c>
    </row>
    <row r="51" spans="1:9" x14ac:dyDescent="0.55000000000000004">
      <c r="A51" s="6" t="s">
        <v>133</v>
      </c>
      <c r="B51" s="1">
        <v>65216</v>
      </c>
      <c r="E51">
        <v>60</v>
      </c>
      <c r="F51" s="8">
        <f t="shared" ref="F51" si="8">E51*B51</f>
        <v>3912960</v>
      </c>
      <c r="I51" s="9" t="s">
        <v>9</v>
      </c>
    </row>
    <row r="52" spans="1:9" x14ac:dyDescent="0.55000000000000004">
      <c r="A52" s="6" t="s">
        <v>51</v>
      </c>
      <c r="B52" s="1">
        <v>85810</v>
      </c>
      <c r="E52">
        <v>41</v>
      </c>
      <c r="F52" s="8">
        <f>E52*B52</f>
        <v>3518210</v>
      </c>
      <c r="I52" s="9" t="s">
        <v>9</v>
      </c>
    </row>
    <row r="53" spans="1:9" x14ac:dyDescent="0.55000000000000004">
      <c r="A53" s="6" t="s">
        <v>49</v>
      </c>
      <c r="B53" s="1">
        <v>42910</v>
      </c>
      <c r="E53">
        <v>17</v>
      </c>
      <c r="F53" s="8">
        <f>E53*B53</f>
        <v>729470</v>
      </c>
      <c r="I53" s="9" t="s">
        <v>9</v>
      </c>
    </row>
    <row r="54" spans="1:9" ht="14.7" thickBot="1" x14ac:dyDescent="0.6">
      <c r="A54" s="11"/>
      <c r="B54" s="13"/>
      <c r="C54" s="12"/>
      <c r="D54" s="12"/>
      <c r="E54" s="15" t="s">
        <v>18</v>
      </c>
      <c r="F54" s="16">
        <f>SUM(F41:F53)</f>
        <v>56744724</v>
      </c>
      <c r="G54" s="15" t="s">
        <v>19</v>
      </c>
      <c r="H54" s="15"/>
      <c r="I54" s="17">
        <f>F54/$L$1</f>
        <v>129.82476008727514</v>
      </c>
    </row>
    <row r="55" spans="1:9" ht="14.7" thickBot="1" x14ac:dyDescent="0.6">
      <c r="G55" t="s">
        <v>46</v>
      </c>
      <c r="I55" s="21">
        <f>(E42*'Available Land_Plant Land Use'!$D$13+E43*'Available Land_Plant Land Use'!$D$14)/1000000</f>
        <v>6.4948056140000006</v>
      </c>
    </row>
    <row r="56" spans="1:9" ht="14.7" thickBot="1" x14ac:dyDescent="0.6">
      <c r="A56" s="3" t="s">
        <v>57</v>
      </c>
      <c r="I56" s="21"/>
    </row>
    <row r="57" spans="1:9" x14ac:dyDescent="0.55000000000000004">
      <c r="A57" s="18" t="s">
        <v>22</v>
      </c>
      <c r="B57" s="4" t="s">
        <v>26</v>
      </c>
      <c r="C57" s="4" t="s">
        <v>27</v>
      </c>
      <c r="D57" s="4"/>
      <c r="E57" s="4" t="s">
        <v>36</v>
      </c>
      <c r="F57" s="4" t="s">
        <v>17</v>
      </c>
      <c r="G57" s="4" t="s">
        <v>31</v>
      </c>
      <c r="H57" s="4" t="s">
        <v>35</v>
      </c>
      <c r="I57" s="5" t="s">
        <v>2</v>
      </c>
    </row>
    <row r="58" spans="1:9" x14ac:dyDescent="0.55000000000000004">
      <c r="A58" s="6" t="s">
        <v>3</v>
      </c>
      <c r="B58" s="14">
        <v>116276</v>
      </c>
      <c r="E58">
        <v>25</v>
      </c>
      <c r="F58" s="8">
        <f>E58*B58</f>
        <v>2906900</v>
      </c>
      <c r="G58">
        <v>84766</v>
      </c>
      <c r="H58" s="19">
        <f t="shared" ref="H58:H60" si="9">G58/(E58*8760)</f>
        <v>0.3870593607305936</v>
      </c>
      <c r="I58" s="9" t="s">
        <v>9</v>
      </c>
    </row>
    <row r="59" spans="1:9" x14ac:dyDescent="0.55000000000000004">
      <c r="A59" s="6" t="s">
        <v>4</v>
      </c>
      <c r="B59" s="14">
        <v>75772</v>
      </c>
      <c r="E59">
        <v>490</v>
      </c>
      <c r="F59" s="8">
        <f>E59*B59</f>
        <v>37128280</v>
      </c>
      <c r="G59">
        <v>534537</v>
      </c>
      <c r="H59" s="19">
        <f t="shared" si="9"/>
        <v>0.12453103159071847</v>
      </c>
      <c r="I59" s="9" t="s">
        <v>8</v>
      </c>
    </row>
    <row r="60" spans="1:9" x14ac:dyDescent="0.55000000000000004">
      <c r="A60" s="6" t="s">
        <v>134</v>
      </c>
      <c r="B60" s="7">
        <v>226540</v>
      </c>
      <c r="E60">
        <v>10</v>
      </c>
      <c r="F60" s="8">
        <f>E60*B60</f>
        <v>2265400</v>
      </c>
      <c r="G60">
        <v>16408</v>
      </c>
      <c r="H60" s="19">
        <f t="shared" si="9"/>
        <v>0.18730593607305937</v>
      </c>
      <c r="I60" s="9" t="s">
        <v>9</v>
      </c>
    </row>
    <row r="61" spans="1:9" ht="14.7" thickBot="1" x14ac:dyDescent="0.6">
      <c r="A61" s="6"/>
      <c r="B61" s="7"/>
      <c r="I61" s="9"/>
    </row>
    <row r="62" spans="1:9" x14ac:dyDescent="0.55000000000000004">
      <c r="A62" s="10" t="s">
        <v>6</v>
      </c>
      <c r="B62" t="s">
        <v>53</v>
      </c>
      <c r="C62" t="s">
        <v>10</v>
      </c>
      <c r="E62" t="s">
        <v>1</v>
      </c>
      <c r="G62" t="s">
        <v>21</v>
      </c>
      <c r="I62" s="5" t="s">
        <v>2</v>
      </c>
    </row>
    <row r="63" spans="1:9" x14ac:dyDescent="0.55000000000000004">
      <c r="A63" s="6" t="s">
        <v>135</v>
      </c>
      <c r="B63" s="1">
        <v>4290</v>
      </c>
      <c r="C63">
        <v>107</v>
      </c>
      <c r="E63">
        <v>1087</v>
      </c>
      <c r="F63" s="8">
        <f>E63*B63</f>
        <v>4663230</v>
      </c>
      <c r="G63" s="25">
        <f>E63/70</f>
        <v>15.528571428571428</v>
      </c>
      <c r="I63" s="9" t="s">
        <v>9</v>
      </c>
    </row>
    <row r="64" spans="1:9" x14ac:dyDescent="0.55000000000000004">
      <c r="A64" s="6" t="s">
        <v>48</v>
      </c>
      <c r="B64" s="1">
        <v>2860</v>
      </c>
      <c r="C64">
        <v>251</v>
      </c>
      <c r="E64">
        <v>2000</v>
      </c>
      <c r="F64" s="8">
        <f>E64*B64</f>
        <v>5720000</v>
      </c>
      <c r="G64" s="25">
        <f>IF(E69&gt;0,E64/E69,0)</f>
        <v>27.027027027027028</v>
      </c>
      <c r="I64" s="9" t="s">
        <v>8</v>
      </c>
    </row>
    <row r="65" spans="1:9" ht="14.7" thickBot="1" x14ac:dyDescent="0.6">
      <c r="A65" s="6"/>
      <c r="B65" s="1"/>
      <c r="F65" s="8"/>
      <c r="I65" s="9"/>
    </row>
    <row r="66" spans="1:9" x14ac:dyDescent="0.55000000000000004">
      <c r="A66" s="10" t="s">
        <v>50</v>
      </c>
      <c r="B66" s="4" t="s">
        <v>26</v>
      </c>
      <c r="E66" t="s">
        <v>36</v>
      </c>
      <c r="F66" s="8"/>
      <c r="I66" s="5" t="s">
        <v>2</v>
      </c>
    </row>
    <row r="67" spans="1:9" x14ac:dyDescent="0.55000000000000004">
      <c r="A67" s="6" t="s">
        <v>133</v>
      </c>
      <c r="B67" s="1">
        <v>65216</v>
      </c>
      <c r="E67">
        <v>29</v>
      </c>
      <c r="F67" s="8">
        <f t="shared" ref="F67" si="10">E67*B67</f>
        <v>1891264</v>
      </c>
      <c r="I67" s="9" t="s">
        <v>9</v>
      </c>
    </row>
    <row r="68" spans="1:9" x14ac:dyDescent="0.55000000000000004">
      <c r="A68" s="6" t="s">
        <v>51</v>
      </c>
      <c r="B68" s="1">
        <v>85810</v>
      </c>
      <c r="E68">
        <v>175</v>
      </c>
      <c r="F68" s="8">
        <f>E68*B68</f>
        <v>15016750</v>
      </c>
      <c r="I68" s="9" t="s">
        <v>9</v>
      </c>
    </row>
    <row r="69" spans="1:9" x14ac:dyDescent="0.55000000000000004">
      <c r="A69" s="6" t="s">
        <v>49</v>
      </c>
      <c r="B69" s="1">
        <v>42910</v>
      </c>
      <c r="E69">
        <v>74</v>
      </c>
      <c r="F69" s="8">
        <f>E69*B69</f>
        <v>3175340</v>
      </c>
      <c r="I69" s="9" t="s">
        <v>9</v>
      </c>
    </row>
    <row r="70" spans="1:9" ht="14.7" thickBot="1" x14ac:dyDescent="0.6">
      <c r="A70" s="11"/>
      <c r="B70" s="13"/>
      <c r="C70" s="12"/>
      <c r="D70" s="12"/>
      <c r="E70" s="15" t="s">
        <v>18</v>
      </c>
      <c r="F70" s="16">
        <f>SUM(F58:F69)</f>
        <v>72767164</v>
      </c>
      <c r="G70" s="15" t="s">
        <v>19</v>
      </c>
      <c r="H70" s="15"/>
      <c r="I70" s="17">
        <f>F70/$L$1</f>
        <v>166.48207873090377</v>
      </c>
    </row>
    <row r="71" spans="1:9" ht="14.7" thickBot="1" x14ac:dyDescent="0.6">
      <c r="G71" t="s">
        <v>46</v>
      </c>
      <c r="I71" s="21">
        <f>(E59*'Available Land_Plant Land Use'!$D$13+E60*'Available Land_Plant Land Use'!$D$14)/1000000</f>
        <v>8.5914837800000008</v>
      </c>
    </row>
    <row r="72" spans="1:9" ht="14.7" thickBot="1" x14ac:dyDescent="0.6">
      <c r="A72" s="3" t="s">
        <v>142</v>
      </c>
      <c r="I72" s="21"/>
    </row>
    <row r="73" spans="1:9" x14ac:dyDescent="0.55000000000000004">
      <c r="A73" s="18" t="s">
        <v>22</v>
      </c>
      <c r="B73" s="4" t="s">
        <v>26</v>
      </c>
      <c r="C73" s="4" t="s">
        <v>27</v>
      </c>
      <c r="D73" s="4"/>
      <c r="E73" s="4" t="s">
        <v>36</v>
      </c>
      <c r="F73" s="4" t="s">
        <v>17</v>
      </c>
      <c r="G73" s="4" t="s">
        <v>31</v>
      </c>
      <c r="H73" s="4" t="s">
        <v>35</v>
      </c>
      <c r="I73" s="5" t="s">
        <v>2</v>
      </c>
    </row>
    <row r="74" spans="1:9" x14ac:dyDescent="0.55000000000000004">
      <c r="A74" s="6" t="s">
        <v>3</v>
      </c>
      <c r="B74" s="14">
        <v>116276</v>
      </c>
      <c r="E74">
        <v>25</v>
      </c>
      <c r="F74" s="8">
        <f>E74*B74</f>
        <v>2906900</v>
      </c>
      <c r="G74">
        <v>86158</v>
      </c>
      <c r="H74" s="19">
        <f t="shared" ref="H74:H75" si="11">G74/(E74*8760)</f>
        <v>0.39341552511415523</v>
      </c>
      <c r="I74" s="9" t="s">
        <v>9</v>
      </c>
    </row>
    <row r="75" spans="1:9" x14ac:dyDescent="0.55000000000000004">
      <c r="A75" s="6" t="s">
        <v>4</v>
      </c>
      <c r="B75" s="14">
        <v>75772</v>
      </c>
      <c r="E75">
        <v>432</v>
      </c>
      <c r="F75" s="8">
        <f>E75*B75</f>
        <v>32733504</v>
      </c>
      <c r="G75">
        <v>413396</v>
      </c>
      <c r="H75" s="19">
        <f t="shared" si="11"/>
        <v>0.10923917639100288</v>
      </c>
      <c r="I75" s="9" t="s">
        <v>8</v>
      </c>
    </row>
    <row r="76" spans="1:9" ht="14.7" thickBot="1" x14ac:dyDescent="0.6">
      <c r="A76" s="6"/>
      <c r="B76" s="7"/>
      <c r="H76" s="19"/>
      <c r="I76" s="9"/>
    </row>
    <row r="77" spans="1:9" x14ac:dyDescent="0.55000000000000004">
      <c r="A77" s="10" t="s">
        <v>6</v>
      </c>
      <c r="B77" t="s">
        <v>53</v>
      </c>
      <c r="C77" t="s">
        <v>10</v>
      </c>
      <c r="E77" t="s">
        <v>1</v>
      </c>
      <c r="G77" t="s">
        <v>21</v>
      </c>
      <c r="I77" s="5" t="s">
        <v>2</v>
      </c>
    </row>
    <row r="78" spans="1:9" x14ac:dyDescent="0.55000000000000004">
      <c r="A78" s="6" t="s">
        <v>7</v>
      </c>
      <c r="B78" s="1">
        <v>15700</v>
      </c>
      <c r="C78">
        <v>160</v>
      </c>
      <c r="E78">
        <v>420</v>
      </c>
      <c r="F78" s="8">
        <f>E78*B78</f>
        <v>6594000</v>
      </c>
      <c r="G78" s="25">
        <f>E78/70</f>
        <v>6</v>
      </c>
      <c r="I78" s="9" t="s">
        <v>8</v>
      </c>
    </row>
    <row r="79" spans="1:9" x14ac:dyDescent="0.55000000000000004">
      <c r="A79" s="6" t="s">
        <v>48</v>
      </c>
      <c r="B79" s="1">
        <v>2860</v>
      </c>
      <c r="C79">
        <v>0</v>
      </c>
      <c r="E79">
        <v>2000</v>
      </c>
      <c r="F79" s="8">
        <f t="shared" ref="F79" si="12">E79*B79</f>
        <v>5720000</v>
      </c>
      <c r="G79" s="25">
        <f>IF(E83&gt;0,E79/E83,0)</f>
        <v>44.444444444444443</v>
      </c>
      <c r="I79" s="9" t="s">
        <v>8</v>
      </c>
    </row>
    <row r="80" spans="1:9" ht="14.7" thickBot="1" x14ac:dyDescent="0.6">
      <c r="A80" s="6"/>
      <c r="B80" s="1"/>
      <c r="F80" s="8"/>
      <c r="I80" s="9"/>
    </row>
    <row r="81" spans="1:9" x14ac:dyDescent="0.55000000000000004">
      <c r="A81" s="10" t="s">
        <v>50</v>
      </c>
      <c r="B81" s="4" t="s">
        <v>26</v>
      </c>
      <c r="E81" t="s">
        <v>36</v>
      </c>
      <c r="F81" s="8"/>
      <c r="I81" s="5" t="s">
        <v>2</v>
      </c>
    </row>
    <row r="82" spans="1:9" x14ac:dyDescent="0.55000000000000004">
      <c r="A82" s="6" t="s">
        <v>51</v>
      </c>
      <c r="B82" s="1">
        <v>85810</v>
      </c>
      <c r="E82">
        <v>67</v>
      </c>
      <c r="F82" s="8">
        <f t="shared" ref="F82:F83" si="13">E82*B82</f>
        <v>5749270</v>
      </c>
      <c r="I82" s="9" t="s">
        <v>9</v>
      </c>
    </row>
    <row r="83" spans="1:9" x14ac:dyDescent="0.55000000000000004">
      <c r="A83" s="6" t="s">
        <v>49</v>
      </c>
      <c r="B83" s="1">
        <v>42910</v>
      </c>
      <c r="E83">
        <v>45</v>
      </c>
      <c r="F83" s="8">
        <f t="shared" si="13"/>
        <v>1930950</v>
      </c>
      <c r="I83" s="9" t="s">
        <v>9</v>
      </c>
    </row>
    <row r="84" spans="1:9" ht="14.7" thickBot="1" x14ac:dyDescent="0.6">
      <c r="A84" s="11"/>
      <c r="B84" s="13"/>
      <c r="C84" s="12"/>
      <c r="D84" s="12"/>
      <c r="E84" s="15" t="s">
        <v>18</v>
      </c>
      <c r="F84" s="16">
        <f>SUM(F74:F83)</f>
        <v>55634624</v>
      </c>
      <c r="G84" s="15" t="s">
        <v>19</v>
      </c>
      <c r="H84" s="15"/>
      <c r="I84" s="17">
        <f>F84/$L$1</f>
        <v>127.28499152354252</v>
      </c>
    </row>
    <row r="85" spans="1:9" ht="14.7" thickBot="1" x14ac:dyDescent="0.6">
      <c r="G85" t="s">
        <v>46</v>
      </c>
      <c r="I85" s="21">
        <f>(E75*'Available Land_Plant Land Use'!$D$13)/1000000</f>
        <v>7.3426227840000013</v>
      </c>
    </row>
    <row r="86" spans="1:9" ht="14.7" thickBot="1" x14ac:dyDescent="0.6">
      <c r="A86" s="3" t="s">
        <v>58</v>
      </c>
      <c r="I86" s="21"/>
    </row>
    <row r="87" spans="1:9" x14ac:dyDescent="0.55000000000000004">
      <c r="A87" s="18" t="s">
        <v>22</v>
      </c>
      <c r="B87" s="4" t="s">
        <v>26</v>
      </c>
      <c r="C87" s="4" t="s">
        <v>27</v>
      </c>
      <c r="D87" s="4"/>
      <c r="E87" s="4" t="s">
        <v>36</v>
      </c>
      <c r="F87" s="4" t="s">
        <v>17</v>
      </c>
      <c r="G87" s="4" t="s">
        <v>31</v>
      </c>
      <c r="H87" s="4" t="s">
        <v>35</v>
      </c>
      <c r="I87" s="5" t="s">
        <v>2</v>
      </c>
    </row>
    <row r="88" spans="1:9" x14ac:dyDescent="0.55000000000000004">
      <c r="A88" s="6" t="s">
        <v>3</v>
      </c>
      <c r="B88" s="14">
        <v>116276</v>
      </c>
      <c r="E88">
        <v>50</v>
      </c>
      <c r="F88" s="8">
        <f>E88*B88</f>
        <v>5813800</v>
      </c>
      <c r="G88">
        <v>185968</v>
      </c>
      <c r="H88" s="19">
        <f t="shared" ref="H88:H90" si="14">G88/(E88*8760)</f>
        <v>0.42458447488584478</v>
      </c>
      <c r="I88" s="9" t="s">
        <v>9</v>
      </c>
    </row>
    <row r="89" spans="1:9" x14ac:dyDescent="0.55000000000000004">
      <c r="A89" s="6" t="s">
        <v>4</v>
      </c>
      <c r="B89" s="14">
        <v>75772</v>
      </c>
      <c r="E89">
        <v>312</v>
      </c>
      <c r="F89" s="8">
        <f>E89*B89</f>
        <v>23640864</v>
      </c>
      <c r="G89">
        <v>276834</v>
      </c>
      <c r="H89" s="19">
        <f t="shared" si="14"/>
        <v>0.10128863716192484</v>
      </c>
      <c r="I89" s="9" t="s">
        <v>9</v>
      </c>
    </row>
    <row r="90" spans="1:9" x14ac:dyDescent="0.55000000000000004">
      <c r="A90" s="6" t="s">
        <v>134</v>
      </c>
      <c r="B90" s="7">
        <v>226540</v>
      </c>
      <c r="E90">
        <v>5</v>
      </c>
      <c r="F90" s="8">
        <f>E90*B90</f>
        <v>1132700</v>
      </c>
      <c r="G90">
        <v>7766</v>
      </c>
      <c r="H90" s="19">
        <f t="shared" si="14"/>
        <v>0.17730593607305936</v>
      </c>
      <c r="I90" s="9" t="s">
        <v>9</v>
      </c>
    </row>
    <row r="91" spans="1:9" ht="14.7" thickBot="1" x14ac:dyDescent="0.6">
      <c r="A91" s="6"/>
      <c r="B91" s="7"/>
      <c r="H91" s="19"/>
      <c r="I91" s="9"/>
    </row>
    <row r="92" spans="1:9" x14ac:dyDescent="0.55000000000000004">
      <c r="A92" s="10" t="s">
        <v>6</v>
      </c>
      <c r="B92" t="s">
        <v>53</v>
      </c>
      <c r="C92" t="s">
        <v>10</v>
      </c>
      <c r="E92" t="s">
        <v>1</v>
      </c>
      <c r="G92" t="s">
        <v>21</v>
      </c>
      <c r="I92" s="5" t="s">
        <v>2</v>
      </c>
    </row>
    <row r="93" spans="1:9" x14ac:dyDescent="0.55000000000000004">
      <c r="A93" s="6" t="s">
        <v>7</v>
      </c>
      <c r="B93" s="1">
        <v>15700</v>
      </c>
      <c r="C93">
        <v>59</v>
      </c>
      <c r="E93">
        <v>488</v>
      </c>
      <c r="F93" s="8">
        <f>E93*B93</f>
        <v>7661600</v>
      </c>
      <c r="G93" s="25">
        <f>E93/70</f>
        <v>6.9714285714285715</v>
      </c>
      <c r="I93" s="9" t="s">
        <v>8</v>
      </c>
    </row>
    <row r="94" spans="1:9" x14ac:dyDescent="0.55000000000000004">
      <c r="A94" s="6" t="s">
        <v>135</v>
      </c>
      <c r="B94" s="1">
        <v>4290</v>
      </c>
      <c r="C94">
        <v>316</v>
      </c>
      <c r="E94">
        <v>893</v>
      </c>
      <c r="F94" s="8">
        <f>E94*B94</f>
        <v>3830970</v>
      </c>
      <c r="G94" s="25">
        <f>E94/70</f>
        <v>12.757142857142858</v>
      </c>
      <c r="I94" s="9" t="s">
        <v>9</v>
      </c>
    </row>
    <row r="95" spans="1:9" x14ac:dyDescent="0.55000000000000004">
      <c r="A95" s="6" t="s">
        <v>48</v>
      </c>
      <c r="B95" s="1">
        <v>2860</v>
      </c>
      <c r="C95">
        <v>16</v>
      </c>
      <c r="E95">
        <v>1806</v>
      </c>
      <c r="F95" s="8">
        <f t="shared" ref="F95" si="15">E95*B95</f>
        <v>5165160</v>
      </c>
      <c r="G95" s="25">
        <f>IF(E100&gt;0,E95/E100,0)</f>
        <v>112.875</v>
      </c>
      <c r="I95" s="9" t="s">
        <v>9</v>
      </c>
    </row>
    <row r="96" spans="1:9" ht="14.7" thickBot="1" x14ac:dyDescent="0.6">
      <c r="A96" s="6"/>
      <c r="B96" s="1"/>
      <c r="F96" s="8"/>
      <c r="I96" s="9"/>
    </row>
    <row r="97" spans="1:9" x14ac:dyDescent="0.55000000000000004">
      <c r="A97" s="10" t="s">
        <v>50</v>
      </c>
      <c r="B97" s="4" t="s">
        <v>26</v>
      </c>
      <c r="E97" t="s">
        <v>36</v>
      </c>
      <c r="F97" s="8"/>
      <c r="I97" s="5" t="s">
        <v>2</v>
      </c>
    </row>
    <row r="98" spans="1:9" x14ac:dyDescent="0.55000000000000004">
      <c r="A98" s="6" t="s">
        <v>133</v>
      </c>
      <c r="B98" s="1">
        <v>65216</v>
      </c>
      <c r="E98">
        <v>29</v>
      </c>
      <c r="F98" s="8">
        <f t="shared" ref="F98" si="16">E98*B98</f>
        <v>1891264</v>
      </c>
      <c r="I98" s="9" t="s">
        <v>9</v>
      </c>
    </row>
    <row r="99" spans="1:9" x14ac:dyDescent="0.55000000000000004">
      <c r="A99" s="6" t="s">
        <v>51</v>
      </c>
      <c r="B99" s="1">
        <v>85810</v>
      </c>
      <c r="E99">
        <v>30</v>
      </c>
      <c r="F99" s="8">
        <f t="shared" ref="F99:F100" si="17">E99*B99</f>
        <v>2574300</v>
      </c>
      <c r="I99" s="9" t="s">
        <v>9</v>
      </c>
    </row>
    <row r="100" spans="1:9" x14ac:dyDescent="0.55000000000000004">
      <c r="A100" s="6" t="s">
        <v>49</v>
      </c>
      <c r="B100" s="1">
        <v>42910</v>
      </c>
      <c r="E100">
        <v>16</v>
      </c>
      <c r="F100" s="8">
        <f t="shared" si="17"/>
        <v>686560</v>
      </c>
      <c r="I100" s="9" t="s">
        <v>9</v>
      </c>
    </row>
    <row r="101" spans="1:9" ht="14.7" thickBot="1" x14ac:dyDescent="0.6">
      <c r="A101" s="11"/>
      <c r="B101" s="13"/>
      <c r="C101" s="12"/>
      <c r="D101" s="12"/>
      <c r="E101" s="15" t="s">
        <v>18</v>
      </c>
      <c r="F101" s="16">
        <f>SUM(F88:F100)</f>
        <v>52397218</v>
      </c>
      <c r="G101" s="15" t="s">
        <v>19</v>
      </c>
      <c r="H101" s="15"/>
      <c r="I101" s="17">
        <f>F101/$L$1</f>
        <v>119.87821556926869</v>
      </c>
    </row>
    <row r="102" spans="1:9" x14ac:dyDescent="0.55000000000000004">
      <c r="G102" t="s">
        <v>46</v>
      </c>
      <c r="I102" s="21">
        <f>(E89*'Available Land_Plant Land Use'!$D$13+E90*'Available Land_Plant Land Use'!$D$14)/1000000</f>
        <v>5.4345282940000006</v>
      </c>
    </row>
    <row r="103" spans="1:9" ht="14.7" thickBot="1" x14ac:dyDescent="0.6"/>
    <row r="104" spans="1:9" ht="14.7" thickBot="1" x14ac:dyDescent="0.6">
      <c r="A104" s="3" t="s">
        <v>118</v>
      </c>
      <c r="I104" s="21"/>
    </row>
    <row r="105" spans="1:9" x14ac:dyDescent="0.55000000000000004">
      <c r="A105" s="18" t="s">
        <v>22</v>
      </c>
      <c r="B105" s="4" t="s">
        <v>26</v>
      </c>
      <c r="C105" s="4" t="s">
        <v>27</v>
      </c>
      <c r="D105" s="4"/>
      <c r="E105" s="4" t="s">
        <v>36</v>
      </c>
      <c r="F105" s="4" t="s">
        <v>17</v>
      </c>
      <c r="G105" s="4" t="s">
        <v>31</v>
      </c>
      <c r="H105" s="4" t="s">
        <v>35</v>
      </c>
      <c r="I105" s="5" t="s">
        <v>2</v>
      </c>
    </row>
    <row r="106" spans="1:9" x14ac:dyDescent="0.55000000000000004">
      <c r="A106" s="6" t="s">
        <v>3</v>
      </c>
      <c r="B106" s="14">
        <v>116276</v>
      </c>
      <c r="E106">
        <v>63</v>
      </c>
      <c r="F106" s="8">
        <f>E106*B106</f>
        <v>7325388</v>
      </c>
      <c r="G106">
        <v>234770</v>
      </c>
      <c r="H106" s="19">
        <f t="shared" ref="H106:H108" si="18">G106/(E106*8760)</f>
        <v>0.4254004493730521</v>
      </c>
      <c r="I106" s="9" t="s">
        <v>9</v>
      </c>
    </row>
    <row r="107" spans="1:9" x14ac:dyDescent="0.55000000000000004">
      <c r="A107" s="6" t="s">
        <v>4</v>
      </c>
      <c r="B107" s="1">
        <v>102973</v>
      </c>
      <c r="E107">
        <v>273</v>
      </c>
      <c r="F107" s="8">
        <f>E107*B107</f>
        <v>28111629</v>
      </c>
      <c r="G107">
        <v>215957</v>
      </c>
      <c r="H107" s="19">
        <f t="shared" si="18"/>
        <v>9.030265776841119E-2</v>
      </c>
      <c r="I107" s="9" t="s">
        <v>9</v>
      </c>
    </row>
    <row r="108" spans="1:9" x14ac:dyDescent="0.55000000000000004">
      <c r="A108" s="6" t="s">
        <v>134</v>
      </c>
      <c r="B108" s="7">
        <v>226540</v>
      </c>
      <c r="E108">
        <v>8</v>
      </c>
      <c r="F108" s="8">
        <f>E108*B108</f>
        <v>1812320</v>
      </c>
      <c r="G108">
        <v>11654</v>
      </c>
      <c r="H108" s="19">
        <f t="shared" si="18"/>
        <v>0.16629566210045663</v>
      </c>
      <c r="I108" s="9" t="s">
        <v>9</v>
      </c>
    </row>
    <row r="109" spans="1:9" ht="14.7" thickBot="1" x14ac:dyDescent="0.6">
      <c r="A109" s="6"/>
      <c r="B109" s="7"/>
      <c r="H109" s="19"/>
      <c r="I109" s="9"/>
    </row>
    <row r="110" spans="1:9" x14ac:dyDescent="0.55000000000000004">
      <c r="A110" s="10" t="s">
        <v>6</v>
      </c>
      <c r="B110" t="s">
        <v>53</v>
      </c>
      <c r="C110" t="s">
        <v>10</v>
      </c>
      <c r="E110" t="s">
        <v>1</v>
      </c>
      <c r="G110" t="s">
        <v>21</v>
      </c>
      <c r="I110" s="5" t="s">
        <v>2</v>
      </c>
    </row>
    <row r="111" spans="1:9" x14ac:dyDescent="0.55000000000000004">
      <c r="A111" s="6" t="s">
        <v>7</v>
      </c>
      <c r="B111" s="1">
        <v>15700</v>
      </c>
      <c r="C111">
        <v>6</v>
      </c>
      <c r="E111">
        <v>420</v>
      </c>
      <c r="F111" s="8">
        <f>E111*B111</f>
        <v>6594000</v>
      </c>
      <c r="G111">
        <f>E111/70</f>
        <v>6</v>
      </c>
      <c r="I111" s="9" t="s">
        <v>8</v>
      </c>
    </row>
    <row r="112" spans="1:9" x14ac:dyDescent="0.55000000000000004">
      <c r="A112" s="6" t="s">
        <v>135</v>
      </c>
      <c r="B112" s="1">
        <v>4290</v>
      </c>
      <c r="C112">
        <v>77</v>
      </c>
      <c r="E112">
        <v>1272</v>
      </c>
      <c r="F112" s="8">
        <f>E112*B112</f>
        <v>5456880</v>
      </c>
      <c r="G112" s="25">
        <f>E112/70</f>
        <v>18.171428571428571</v>
      </c>
      <c r="I112" s="9" t="s">
        <v>9</v>
      </c>
    </row>
    <row r="113" spans="1:9" x14ac:dyDescent="0.55000000000000004">
      <c r="A113" s="6" t="s">
        <v>48</v>
      </c>
      <c r="B113" s="1">
        <v>2860</v>
      </c>
      <c r="C113">
        <v>0</v>
      </c>
      <c r="E113">
        <v>2000</v>
      </c>
      <c r="F113" s="8">
        <f t="shared" ref="F113" si="19">E113*B113</f>
        <v>5720000</v>
      </c>
      <c r="G113" s="25">
        <f>IF(E118&gt;0,E113/E118,0)</f>
        <v>117.64705882352941</v>
      </c>
      <c r="I113" s="9" t="s">
        <v>8</v>
      </c>
    </row>
    <row r="114" spans="1:9" ht="14.7" thickBot="1" x14ac:dyDescent="0.6">
      <c r="A114" s="6"/>
      <c r="B114" s="1"/>
      <c r="F114" s="8"/>
      <c r="I114" s="9"/>
    </row>
    <row r="115" spans="1:9" x14ac:dyDescent="0.55000000000000004">
      <c r="A115" s="10" t="s">
        <v>50</v>
      </c>
      <c r="B115" s="4" t="s">
        <v>26</v>
      </c>
      <c r="E115" t="s">
        <v>36</v>
      </c>
      <c r="F115" s="8"/>
      <c r="I115" s="5" t="s">
        <v>2</v>
      </c>
    </row>
    <row r="116" spans="1:9" x14ac:dyDescent="0.55000000000000004">
      <c r="A116" s="6" t="s">
        <v>133</v>
      </c>
      <c r="B116" s="1">
        <v>65216</v>
      </c>
      <c r="E116">
        <v>29</v>
      </c>
      <c r="F116" s="8">
        <f t="shared" ref="F116" si="20">E116*B116</f>
        <v>1891264</v>
      </c>
      <c r="I116" s="9" t="s">
        <v>9</v>
      </c>
    </row>
    <row r="117" spans="1:9" x14ac:dyDescent="0.55000000000000004">
      <c r="A117" s="6" t="s">
        <v>51</v>
      </c>
      <c r="B117" s="1">
        <v>85800</v>
      </c>
      <c r="E117">
        <v>24</v>
      </c>
      <c r="F117" s="8">
        <f t="shared" ref="F117:F118" si="21">E117*B117</f>
        <v>2059200</v>
      </c>
      <c r="I117" s="9" t="s">
        <v>9</v>
      </c>
    </row>
    <row r="118" spans="1:9" x14ac:dyDescent="0.55000000000000004">
      <c r="A118" s="6" t="s">
        <v>49</v>
      </c>
      <c r="B118" s="1">
        <v>42900</v>
      </c>
      <c r="E118">
        <v>17</v>
      </c>
      <c r="F118" s="8">
        <f t="shared" si="21"/>
        <v>729300</v>
      </c>
      <c r="I118" s="9" t="s">
        <v>9</v>
      </c>
    </row>
    <row r="119" spans="1:9" ht="14.7" thickBot="1" x14ac:dyDescent="0.6">
      <c r="A119" s="11"/>
      <c r="B119" s="13"/>
      <c r="C119" s="12"/>
      <c r="D119" s="12"/>
      <c r="E119" s="15" t="s">
        <v>18</v>
      </c>
      <c r="F119" s="16">
        <f>SUM(F106:F118)</f>
        <v>59699981</v>
      </c>
      <c r="G119" s="15" t="s">
        <v>19</v>
      </c>
      <c r="H119" s="15"/>
      <c r="I119" s="17">
        <f>F119/$L$1</f>
        <v>136.58601477275462</v>
      </c>
    </row>
    <row r="120" spans="1:9" x14ac:dyDescent="0.55000000000000004">
      <c r="G120" t="s">
        <v>46</v>
      </c>
      <c r="I120" s="21">
        <f>(E107*'Available Land_Plant Land Use'!$D$13+E108*'Available Land_Plant Land Use'!$D$14)/1000000</f>
        <v>4.8505663960000005</v>
      </c>
    </row>
  </sheetData>
  <mergeCells count="3">
    <mergeCell ref="B3:C3"/>
    <mergeCell ref="E3:I3"/>
    <mergeCell ref="M4:P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963B-17D9-4DE5-83DD-7A0FEE0DBD76}">
  <dimension ref="A1:Q15"/>
  <sheetViews>
    <sheetView topLeftCell="D1" workbookViewId="0">
      <selection activeCell="N4" sqref="N4:P8"/>
    </sheetView>
  </sheetViews>
  <sheetFormatPr defaultRowHeight="14.4" x14ac:dyDescent="0.55000000000000004"/>
  <cols>
    <col min="1" max="1" width="25.20703125" bestFit="1" customWidth="1"/>
    <col min="2" max="2" width="16.83984375" bestFit="1" customWidth="1"/>
    <col min="3" max="3" width="19.41796875" bestFit="1" customWidth="1"/>
    <col min="5" max="5" width="10.5234375" bestFit="1" customWidth="1"/>
    <col min="6" max="6" width="14.3125" bestFit="1" customWidth="1"/>
    <col min="7" max="7" width="15.578125" bestFit="1" customWidth="1"/>
    <col min="8" max="8" width="13.9453125" customWidth="1"/>
    <col min="9" max="9" width="8.7890625" bestFit="1" customWidth="1"/>
    <col min="14" max="14" width="20.26171875" bestFit="1" customWidth="1"/>
    <col min="15" max="16" width="15.05078125" bestFit="1" customWidth="1"/>
    <col min="17" max="17" width="16.05078125" bestFit="1" customWidth="1"/>
  </cols>
  <sheetData>
    <row r="1" spans="1:17" x14ac:dyDescent="0.55000000000000004">
      <c r="A1" t="s">
        <v>23</v>
      </c>
      <c r="K1" t="s">
        <v>61</v>
      </c>
      <c r="L1">
        <v>349669.65599999938</v>
      </c>
    </row>
    <row r="2" spans="1:17" ht="14.7" thickBot="1" x14ac:dyDescent="0.6">
      <c r="K2" t="s">
        <v>62</v>
      </c>
      <c r="L2">
        <v>437087.06999999972</v>
      </c>
    </row>
    <row r="3" spans="1:17" ht="14.7" thickBot="1" x14ac:dyDescent="0.6">
      <c r="A3" s="3" t="s">
        <v>59</v>
      </c>
      <c r="B3" s="41" t="s">
        <v>15</v>
      </c>
      <c r="C3" s="41"/>
      <c r="E3" s="42" t="s">
        <v>16</v>
      </c>
      <c r="F3" s="42"/>
      <c r="G3" s="42"/>
      <c r="H3" s="42"/>
      <c r="I3" s="42"/>
    </row>
    <row r="4" spans="1:17" x14ac:dyDescent="0.55000000000000004">
      <c r="A4" s="18" t="s">
        <v>22</v>
      </c>
      <c r="B4" s="4" t="s">
        <v>26</v>
      </c>
      <c r="C4" s="4" t="s">
        <v>27</v>
      </c>
      <c r="D4" s="4"/>
      <c r="E4" s="4" t="s">
        <v>36</v>
      </c>
      <c r="F4" s="4" t="s">
        <v>17</v>
      </c>
      <c r="G4" s="4" t="s">
        <v>28</v>
      </c>
      <c r="H4" s="4" t="s">
        <v>35</v>
      </c>
      <c r="I4" s="5" t="s">
        <v>2</v>
      </c>
      <c r="M4" t="s">
        <v>67</v>
      </c>
      <c r="N4" s="44" t="s">
        <v>100</v>
      </c>
      <c r="O4" s="45"/>
      <c r="P4" s="46"/>
      <c r="Q4" s="34"/>
    </row>
    <row r="5" spans="1:17" x14ac:dyDescent="0.55000000000000004">
      <c r="A5" s="6" t="s">
        <v>24</v>
      </c>
      <c r="B5" s="14">
        <v>154460</v>
      </c>
      <c r="C5" s="14">
        <v>170</v>
      </c>
      <c r="E5">
        <v>53.37</v>
      </c>
      <c r="F5" s="8">
        <f>E5*B5+C5*G5</f>
        <v>65283630.200000003</v>
      </c>
      <c r="G5">
        <v>335530</v>
      </c>
      <c r="H5" s="19">
        <f>G5/(E5*8760)</f>
        <v>0.71767868494519615</v>
      </c>
      <c r="I5" s="9" t="s">
        <v>9</v>
      </c>
      <c r="N5" s="27" t="s">
        <v>69</v>
      </c>
      <c r="O5" s="27" t="s">
        <v>59</v>
      </c>
      <c r="P5" s="27" t="s">
        <v>101</v>
      </c>
      <c r="Q5" s="27"/>
    </row>
    <row r="6" spans="1:17" x14ac:dyDescent="0.55000000000000004">
      <c r="A6" s="6" t="s">
        <v>25</v>
      </c>
      <c r="B6" s="14">
        <v>75772</v>
      </c>
      <c r="E6">
        <v>9</v>
      </c>
      <c r="F6" s="8">
        <f>E6*B6</f>
        <v>681948</v>
      </c>
      <c r="G6">
        <v>14139</v>
      </c>
      <c r="H6" s="19">
        <f>G6/(E6*8760)</f>
        <v>0.179337899543379</v>
      </c>
      <c r="I6" s="9" t="s">
        <v>9</v>
      </c>
      <c r="N6" s="28" t="s">
        <v>73</v>
      </c>
      <c r="O6" s="29">
        <f>I8</f>
        <v>188.65113706063221</v>
      </c>
      <c r="P6" s="29">
        <f>I15</f>
        <v>189.63882688179282</v>
      </c>
      <c r="Q6" s="29"/>
    </row>
    <row r="7" spans="1:17" x14ac:dyDescent="0.55000000000000004">
      <c r="A7" s="6"/>
      <c r="B7" s="7"/>
      <c r="H7" s="23"/>
      <c r="I7" s="9"/>
      <c r="N7" s="28" t="s">
        <v>88</v>
      </c>
      <c r="O7" s="30">
        <v>53.5</v>
      </c>
      <c r="P7" s="30">
        <v>66.75</v>
      </c>
      <c r="Q7" s="31"/>
    </row>
    <row r="8" spans="1:17" ht="14.7" thickBot="1" x14ac:dyDescent="0.6">
      <c r="A8" s="11"/>
      <c r="B8" s="12"/>
      <c r="C8" s="12"/>
      <c r="D8" s="12"/>
      <c r="E8" s="15" t="s">
        <v>18</v>
      </c>
      <c r="F8" s="16">
        <f>SUM(F5:F6)</f>
        <v>65965578.200000003</v>
      </c>
      <c r="G8" s="15" t="s">
        <v>19</v>
      </c>
      <c r="H8" s="15"/>
      <c r="I8" s="17">
        <f>F8/$L$1</f>
        <v>188.65113706063221</v>
      </c>
      <c r="N8" s="28" t="s">
        <v>75</v>
      </c>
      <c r="O8" s="32">
        <v>9</v>
      </c>
      <c r="P8" s="32">
        <v>9</v>
      </c>
      <c r="Q8" s="32"/>
    </row>
    <row r="9" spans="1:17" ht="14.7" thickBot="1" x14ac:dyDescent="0.6"/>
    <row r="10" spans="1:17" ht="14.7" thickBot="1" x14ac:dyDescent="0.6">
      <c r="A10" s="3" t="s">
        <v>60</v>
      </c>
      <c r="B10" s="41" t="s">
        <v>15</v>
      </c>
      <c r="C10" s="41"/>
      <c r="E10" s="42" t="s">
        <v>16</v>
      </c>
      <c r="F10" s="42"/>
      <c r="G10" s="42"/>
      <c r="H10" s="42"/>
      <c r="I10" s="42"/>
    </row>
    <row r="11" spans="1:17" x14ac:dyDescent="0.55000000000000004">
      <c r="A11" s="18" t="s">
        <v>22</v>
      </c>
      <c r="B11" s="4" t="s">
        <v>26</v>
      </c>
      <c r="C11" s="4" t="s">
        <v>27</v>
      </c>
      <c r="D11" s="4"/>
      <c r="E11" s="4" t="s">
        <v>36</v>
      </c>
      <c r="F11" s="4" t="s">
        <v>17</v>
      </c>
      <c r="G11" s="4" t="s">
        <v>28</v>
      </c>
      <c r="H11" s="4" t="s">
        <v>35</v>
      </c>
      <c r="I11" s="5" t="s">
        <v>2</v>
      </c>
    </row>
    <row r="12" spans="1:17" x14ac:dyDescent="0.55000000000000004">
      <c r="A12" s="6" t="s">
        <v>24</v>
      </c>
      <c r="B12" s="14">
        <v>154460</v>
      </c>
      <c r="C12" s="14">
        <v>170</v>
      </c>
      <c r="E12">
        <v>66.72</v>
      </c>
      <c r="F12" s="8">
        <f>E12*B12+C12*G12</f>
        <v>82206731.200000003</v>
      </c>
      <c r="G12">
        <v>422948</v>
      </c>
      <c r="H12" s="19">
        <f>G12/(E12*8760)</f>
        <v>0.72364710970949275</v>
      </c>
      <c r="I12" s="9" t="s">
        <v>9</v>
      </c>
    </row>
    <row r="13" spans="1:17" x14ac:dyDescent="0.55000000000000004">
      <c r="A13" s="6" t="s">
        <v>25</v>
      </c>
      <c r="B13" s="14">
        <v>75772</v>
      </c>
      <c r="E13">
        <v>9</v>
      </c>
      <c r="F13" s="8">
        <f>E13*B13</f>
        <v>681948</v>
      </c>
      <c r="G13">
        <v>14139</v>
      </c>
      <c r="H13" s="19">
        <f>G13/(E13*8760)</f>
        <v>0.179337899543379</v>
      </c>
      <c r="I13" s="9" t="s">
        <v>9</v>
      </c>
      <c r="N13" s="28"/>
      <c r="O13" s="32"/>
      <c r="P13" s="32"/>
      <c r="Q13" s="32"/>
    </row>
    <row r="14" spans="1:17" x14ac:dyDescent="0.55000000000000004">
      <c r="A14" s="6"/>
      <c r="B14" s="7"/>
      <c r="H14" s="23"/>
      <c r="I14" s="9"/>
      <c r="N14" s="28"/>
      <c r="O14" s="32"/>
      <c r="P14" s="32"/>
      <c r="Q14" s="32"/>
    </row>
    <row r="15" spans="1:17" ht="14.7" thickBot="1" x14ac:dyDescent="0.6">
      <c r="A15" s="11"/>
      <c r="B15" s="12"/>
      <c r="C15" s="12"/>
      <c r="D15" s="12"/>
      <c r="E15" s="15" t="s">
        <v>18</v>
      </c>
      <c r="F15" s="16">
        <f>SUM(F12:F13)</f>
        <v>82888679.200000003</v>
      </c>
      <c r="G15" s="15" t="s">
        <v>19</v>
      </c>
      <c r="H15" s="15"/>
      <c r="I15" s="17">
        <f>F15/$L$2</f>
        <v>189.63882688179282</v>
      </c>
      <c r="N15" s="28"/>
      <c r="O15" s="30"/>
      <c r="P15" s="30"/>
      <c r="Q15" s="32"/>
    </row>
  </sheetData>
  <mergeCells count="5">
    <mergeCell ref="B3:C3"/>
    <mergeCell ref="E3:I3"/>
    <mergeCell ref="B10:C10"/>
    <mergeCell ref="E10:I10"/>
    <mergeCell ref="N4:P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5932-2CC0-4E48-A485-03DF9A7988D7}">
  <dimension ref="A1:R27"/>
  <sheetViews>
    <sheetView topLeftCell="A3" workbookViewId="0">
      <selection activeCell="N3" sqref="N3:Q10"/>
    </sheetView>
  </sheetViews>
  <sheetFormatPr defaultRowHeight="14.4" x14ac:dyDescent="0.55000000000000004"/>
  <cols>
    <col min="1" max="1" width="12.578125" bestFit="1" customWidth="1"/>
    <col min="2" max="2" width="17.83984375" bestFit="1" customWidth="1"/>
    <col min="3" max="3" width="11.578125" bestFit="1" customWidth="1"/>
    <col min="5" max="5" width="12.83984375" bestFit="1" customWidth="1"/>
    <col min="6" max="6" width="15.3125" bestFit="1" customWidth="1"/>
    <col min="7" max="7" width="21.15625" bestFit="1" customWidth="1"/>
    <col min="8" max="8" width="15.3125" customWidth="1"/>
    <col min="9" max="9" width="14.3125" bestFit="1" customWidth="1"/>
    <col min="11" max="11" width="15.3125" bestFit="1" customWidth="1"/>
    <col min="13" max="13" width="15.9453125" bestFit="1" customWidth="1"/>
    <col min="14" max="14" width="20.26171875" bestFit="1" customWidth="1"/>
    <col min="15" max="16" width="15.05078125" bestFit="1" customWidth="1"/>
    <col min="17" max="17" width="16.05078125" bestFit="1" customWidth="1"/>
  </cols>
  <sheetData>
    <row r="1" spans="1:18" x14ac:dyDescent="0.55000000000000004">
      <c r="A1" t="s">
        <v>14</v>
      </c>
      <c r="K1" t="s">
        <v>20</v>
      </c>
      <c r="L1">
        <v>437087.06999999972</v>
      </c>
    </row>
    <row r="2" spans="1:18" ht="14.7" thickBot="1" x14ac:dyDescent="0.6"/>
    <row r="3" spans="1:18" ht="14.7" thickBot="1" x14ac:dyDescent="0.6">
      <c r="A3" s="3" t="s">
        <v>11</v>
      </c>
      <c r="B3" s="41" t="s">
        <v>15</v>
      </c>
      <c r="C3" s="41"/>
      <c r="E3" s="42" t="s">
        <v>16</v>
      </c>
      <c r="F3" s="42"/>
      <c r="G3" s="42"/>
      <c r="H3" s="42"/>
      <c r="I3" s="42"/>
      <c r="M3" t="s">
        <v>67</v>
      </c>
      <c r="N3" s="43" t="s">
        <v>68</v>
      </c>
      <c r="O3" s="43"/>
      <c r="P3" s="43"/>
      <c r="Q3" s="43"/>
      <c r="R3" s="26"/>
    </row>
    <row r="4" spans="1:18" x14ac:dyDescent="0.55000000000000004">
      <c r="A4" s="18" t="s">
        <v>22</v>
      </c>
      <c r="B4" s="4" t="s">
        <v>26</v>
      </c>
      <c r="C4" s="4"/>
      <c r="D4" s="4"/>
      <c r="E4" s="4" t="s">
        <v>36</v>
      </c>
      <c r="F4" s="4" t="s">
        <v>17</v>
      </c>
      <c r="G4" s="4" t="s">
        <v>63</v>
      </c>
      <c r="H4" s="4" t="s">
        <v>35</v>
      </c>
      <c r="I4" s="5" t="s">
        <v>2</v>
      </c>
      <c r="N4" s="27" t="s">
        <v>69</v>
      </c>
      <c r="O4" s="27" t="s">
        <v>70</v>
      </c>
      <c r="P4" s="27" t="s">
        <v>71</v>
      </c>
      <c r="Q4" s="27" t="s">
        <v>72</v>
      </c>
    </row>
    <row r="5" spans="1:18" x14ac:dyDescent="0.55000000000000004">
      <c r="A5" s="6" t="s">
        <v>3</v>
      </c>
      <c r="B5" s="14">
        <v>116276</v>
      </c>
      <c r="E5">
        <v>25</v>
      </c>
      <c r="F5" s="8">
        <f>E5*B5</f>
        <v>2906900</v>
      </c>
      <c r="G5">
        <v>90937</v>
      </c>
      <c r="H5" s="19">
        <f>G5/(E5*8760)</f>
        <v>0.41523744292237441</v>
      </c>
      <c r="I5" s="9" t="s">
        <v>8</v>
      </c>
      <c r="N5" s="28" t="s">
        <v>73</v>
      </c>
      <c r="O5" s="29">
        <f>I10</f>
        <v>169.09188368349595</v>
      </c>
      <c r="P5" s="29">
        <f>I18</f>
        <v>155.47670170156269</v>
      </c>
      <c r="Q5" s="29">
        <f>I26</f>
        <v>154.1909899096307</v>
      </c>
    </row>
    <row r="6" spans="1:18" x14ac:dyDescent="0.55000000000000004">
      <c r="A6" s="6" t="s">
        <v>4</v>
      </c>
      <c r="B6" s="14">
        <v>75772</v>
      </c>
      <c r="E6">
        <v>608</v>
      </c>
      <c r="F6" s="8">
        <f>E6*B6</f>
        <v>46069376</v>
      </c>
      <c r="G6">
        <v>365188</v>
      </c>
      <c r="H6" s="19">
        <f>G6/(E6*8760)</f>
        <v>6.856599975967316E-2</v>
      </c>
      <c r="I6" s="9" t="s">
        <v>9</v>
      </c>
      <c r="N6" s="28" t="s">
        <v>74</v>
      </c>
      <c r="O6" s="30">
        <f>I11</f>
        <v>10.334061696000001</v>
      </c>
      <c r="P6" s="30">
        <f>I19</f>
        <v>7.6145717760000009</v>
      </c>
      <c r="Q6" s="31">
        <f>I27</f>
        <v>7.1386610400000006</v>
      </c>
    </row>
    <row r="7" spans="1:18" ht="14.7" thickBot="1" x14ac:dyDescent="0.6">
      <c r="A7" s="6"/>
      <c r="B7" s="7"/>
      <c r="I7" s="9"/>
      <c r="N7" s="28" t="s">
        <v>75</v>
      </c>
      <c r="O7" s="32">
        <f>E6</f>
        <v>608</v>
      </c>
      <c r="P7" s="32">
        <f>E14</f>
        <v>448</v>
      </c>
      <c r="Q7" s="32">
        <f>E22</f>
        <v>420</v>
      </c>
    </row>
    <row r="8" spans="1:18" x14ac:dyDescent="0.55000000000000004">
      <c r="A8" s="10" t="s">
        <v>6</v>
      </c>
      <c r="B8" t="s">
        <v>52</v>
      </c>
      <c r="C8" t="s">
        <v>10</v>
      </c>
      <c r="E8" t="s">
        <v>1</v>
      </c>
      <c r="F8" s="4" t="s">
        <v>17</v>
      </c>
      <c r="H8" t="s">
        <v>21</v>
      </c>
      <c r="I8" s="5" t="s">
        <v>2</v>
      </c>
      <c r="N8" s="28" t="s">
        <v>76</v>
      </c>
      <c r="O8" s="32">
        <f>E5</f>
        <v>25</v>
      </c>
      <c r="P8" s="32">
        <f>E13</f>
        <v>50</v>
      </c>
      <c r="Q8" s="32">
        <f>E21</f>
        <v>73</v>
      </c>
    </row>
    <row r="9" spans="1:18" x14ac:dyDescent="0.55000000000000004">
      <c r="A9" s="6" t="s">
        <v>7</v>
      </c>
      <c r="B9" s="1">
        <v>15700</v>
      </c>
      <c r="C9">
        <v>403</v>
      </c>
      <c r="E9">
        <v>1588</v>
      </c>
      <c r="F9" s="8">
        <f>E9*B9</f>
        <v>24931600</v>
      </c>
      <c r="G9" s="8"/>
      <c r="H9">
        <f>E9/60</f>
        <v>26.466666666666665</v>
      </c>
      <c r="I9" s="9" t="s">
        <v>9</v>
      </c>
      <c r="N9" s="28" t="s">
        <v>77</v>
      </c>
      <c r="O9" s="32">
        <f>E9</f>
        <v>1588</v>
      </c>
      <c r="P9" s="32">
        <f>E17</f>
        <v>1796</v>
      </c>
      <c r="Q9" s="32">
        <f>E25</f>
        <v>1725</v>
      </c>
    </row>
    <row r="10" spans="1:18" ht="14.7" thickBot="1" x14ac:dyDescent="0.6">
      <c r="A10" s="11"/>
      <c r="B10" s="12"/>
      <c r="C10" s="12"/>
      <c r="D10" s="12"/>
      <c r="E10" s="15" t="s">
        <v>18</v>
      </c>
      <c r="F10" s="16">
        <f>SUM(F9,F5:F6)</f>
        <v>73907876</v>
      </c>
      <c r="G10" s="16"/>
      <c r="H10" s="15" t="s">
        <v>19</v>
      </c>
      <c r="I10" s="17">
        <f>F10/$L$1</f>
        <v>169.09188368349595</v>
      </c>
      <c r="K10" s="1"/>
      <c r="N10" s="28" t="s">
        <v>78</v>
      </c>
      <c r="O10" s="30">
        <f>H9</f>
        <v>26.466666666666665</v>
      </c>
      <c r="P10" s="30">
        <f>H17</f>
        <v>29.933333333333334</v>
      </c>
      <c r="Q10" s="32">
        <f>H25</f>
        <v>28.75</v>
      </c>
    </row>
    <row r="11" spans="1:18" ht="14.7" thickBot="1" x14ac:dyDescent="0.6">
      <c r="A11" s="3" t="s">
        <v>12</v>
      </c>
      <c r="H11" t="s">
        <v>46</v>
      </c>
      <c r="I11" s="21">
        <f>(E6*'Available Land_Plant Land Use'!$D$13)/1000000</f>
        <v>10.334061696000001</v>
      </c>
      <c r="K11" s="2"/>
    </row>
    <row r="12" spans="1:18" x14ac:dyDescent="0.55000000000000004">
      <c r="A12" s="18" t="s">
        <v>22</v>
      </c>
      <c r="B12" s="4" t="s">
        <v>26</v>
      </c>
      <c r="C12" s="4"/>
      <c r="D12" s="4"/>
      <c r="E12" s="4" t="s">
        <v>36</v>
      </c>
      <c r="F12" s="4" t="s">
        <v>17</v>
      </c>
      <c r="G12" s="4" t="s">
        <v>63</v>
      </c>
      <c r="H12" s="4" t="s">
        <v>35</v>
      </c>
      <c r="I12" s="5" t="s">
        <v>2</v>
      </c>
    </row>
    <row r="13" spans="1:18" x14ac:dyDescent="0.55000000000000004">
      <c r="A13" s="6" t="s">
        <v>3</v>
      </c>
      <c r="B13" s="14">
        <v>116276</v>
      </c>
      <c r="E13">
        <v>50</v>
      </c>
      <c r="F13" s="8">
        <f>E13*B13</f>
        <v>5813800</v>
      </c>
      <c r="G13">
        <v>186722</v>
      </c>
      <c r="H13" s="19">
        <f>G13/(E13*8760)</f>
        <v>0.42630593607305939</v>
      </c>
      <c r="I13" s="9" t="s">
        <v>8</v>
      </c>
    </row>
    <row r="14" spans="1:18" x14ac:dyDescent="0.55000000000000004">
      <c r="A14" s="6" t="s">
        <v>4</v>
      </c>
      <c r="B14" s="14">
        <v>75772</v>
      </c>
      <c r="E14">
        <v>448</v>
      </c>
      <c r="F14" s="8">
        <f>E14*B14</f>
        <v>33945856</v>
      </c>
      <c r="G14">
        <v>264130</v>
      </c>
      <c r="H14" s="19">
        <f>G14/(E14*8760)</f>
        <v>6.7303184116112205E-2</v>
      </c>
      <c r="I14" s="9" t="s">
        <v>9</v>
      </c>
    </row>
    <row r="15" spans="1:18" ht="14.7" thickBot="1" x14ac:dyDescent="0.6">
      <c r="A15" s="6"/>
      <c r="I15" s="9"/>
    </row>
    <row r="16" spans="1:18" x14ac:dyDescent="0.55000000000000004">
      <c r="A16" s="10" t="s">
        <v>6</v>
      </c>
      <c r="B16" t="s">
        <v>53</v>
      </c>
      <c r="C16" t="s">
        <v>10</v>
      </c>
      <c r="E16" t="s">
        <v>1</v>
      </c>
      <c r="F16" s="4" t="s">
        <v>17</v>
      </c>
      <c r="H16" t="s">
        <v>21</v>
      </c>
      <c r="I16" s="5" t="s">
        <v>2</v>
      </c>
    </row>
    <row r="17" spans="1:9" x14ac:dyDescent="0.55000000000000004">
      <c r="A17" s="6" t="s">
        <v>7</v>
      </c>
      <c r="B17" s="1">
        <v>15700</v>
      </c>
      <c r="C17">
        <v>58</v>
      </c>
      <c r="E17">
        <v>1796</v>
      </c>
      <c r="F17" s="8">
        <f>E17*B17</f>
        <v>28197200</v>
      </c>
      <c r="G17" s="8"/>
      <c r="H17">
        <f>E17/60</f>
        <v>29.933333333333334</v>
      </c>
      <c r="I17" s="9" t="s">
        <v>9</v>
      </c>
    </row>
    <row r="18" spans="1:9" ht="14.7" thickBot="1" x14ac:dyDescent="0.6">
      <c r="A18" s="11"/>
      <c r="B18" s="13"/>
      <c r="C18" s="12"/>
      <c r="D18" s="12"/>
      <c r="E18" s="15" t="s">
        <v>18</v>
      </c>
      <c r="F18" s="16">
        <f>SUM(F17,F13:F14)</f>
        <v>67956856</v>
      </c>
      <c r="G18" s="16"/>
      <c r="H18" s="15" t="s">
        <v>19</v>
      </c>
      <c r="I18" s="17">
        <f>F18/$L$1</f>
        <v>155.47670170156269</v>
      </c>
    </row>
    <row r="19" spans="1:9" ht="14.7" thickBot="1" x14ac:dyDescent="0.6">
      <c r="A19" s="3" t="s">
        <v>13</v>
      </c>
      <c r="H19" t="s">
        <v>46</v>
      </c>
      <c r="I19" s="21">
        <f>(E14*'Available Land_Plant Land Use'!$D$13)/1000000</f>
        <v>7.6145717760000009</v>
      </c>
    </row>
    <row r="20" spans="1:9" x14ac:dyDescent="0.55000000000000004">
      <c r="A20" s="18" t="s">
        <v>22</v>
      </c>
      <c r="B20" s="4" t="s">
        <v>26</v>
      </c>
      <c r="C20" s="4"/>
      <c r="D20" s="4"/>
      <c r="E20" s="4" t="s">
        <v>36</v>
      </c>
      <c r="F20" s="4" t="s">
        <v>17</v>
      </c>
      <c r="G20" s="4" t="s">
        <v>63</v>
      </c>
      <c r="H20" s="4" t="s">
        <v>35</v>
      </c>
      <c r="I20" s="5" t="s">
        <v>2</v>
      </c>
    </row>
    <row r="21" spans="1:9" x14ac:dyDescent="0.55000000000000004">
      <c r="A21" s="6" t="s">
        <v>3</v>
      </c>
      <c r="B21" s="14">
        <v>116276</v>
      </c>
      <c r="E21">
        <v>73</v>
      </c>
      <c r="F21" s="8">
        <f>E21*B21</f>
        <v>8488148</v>
      </c>
      <c r="G21">
        <v>268613</v>
      </c>
      <c r="H21" s="19">
        <f>G21/(E21*8760)</f>
        <v>0.42004910239569648</v>
      </c>
      <c r="I21" s="9" t="s">
        <v>9</v>
      </c>
    </row>
    <row r="22" spans="1:9" x14ac:dyDescent="0.55000000000000004">
      <c r="A22" s="6" t="s">
        <v>4</v>
      </c>
      <c r="B22" s="14">
        <v>75772</v>
      </c>
      <c r="E22">
        <v>420</v>
      </c>
      <c r="F22" s="8">
        <f>E22*B22</f>
        <v>31824240</v>
      </c>
      <c r="G22">
        <v>178193</v>
      </c>
      <c r="H22" s="19">
        <f>G22/(E22*8760)</f>
        <v>4.8432539682539681E-2</v>
      </c>
      <c r="I22" s="9" t="s">
        <v>9</v>
      </c>
    </row>
    <row r="23" spans="1:9" ht="14.7" thickBot="1" x14ac:dyDescent="0.6">
      <c r="A23" s="6"/>
      <c r="I23" s="9"/>
    </row>
    <row r="24" spans="1:9" x14ac:dyDescent="0.55000000000000004">
      <c r="A24" s="10" t="s">
        <v>6</v>
      </c>
      <c r="B24" t="s">
        <v>53</v>
      </c>
      <c r="C24" t="s">
        <v>10</v>
      </c>
      <c r="E24" t="s">
        <v>1</v>
      </c>
      <c r="F24" s="4" t="s">
        <v>17</v>
      </c>
      <c r="H24" t="s">
        <v>21</v>
      </c>
      <c r="I24" s="5" t="s">
        <v>2</v>
      </c>
    </row>
    <row r="25" spans="1:9" x14ac:dyDescent="0.55000000000000004">
      <c r="A25" s="6" t="s">
        <v>7</v>
      </c>
      <c r="B25" s="1">
        <v>15700</v>
      </c>
      <c r="C25">
        <v>0</v>
      </c>
      <c r="E25">
        <v>1725</v>
      </c>
      <c r="F25" s="8">
        <f>E25*B25</f>
        <v>27082500</v>
      </c>
      <c r="G25" s="8"/>
      <c r="H25">
        <f>E25/60</f>
        <v>28.75</v>
      </c>
      <c r="I25" s="9" t="s">
        <v>9</v>
      </c>
    </row>
    <row r="26" spans="1:9" ht="14.7" thickBot="1" x14ac:dyDescent="0.6">
      <c r="A26" s="11"/>
      <c r="B26" s="12"/>
      <c r="C26" s="12"/>
      <c r="D26" s="12"/>
      <c r="E26" s="15" t="s">
        <v>18</v>
      </c>
      <c r="F26" s="16">
        <f>SUM(F25,F21:F22)</f>
        <v>67394888</v>
      </c>
      <c r="G26" s="16"/>
      <c r="H26" s="15" t="s">
        <v>19</v>
      </c>
      <c r="I26" s="17">
        <f>F26/$L$1</f>
        <v>154.1909899096307</v>
      </c>
    </row>
    <row r="27" spans="1:9" x14ac:dyDescent="0.55000000000000004">
      <c r="H27" t="s">
        <v>46</v>
      </c>
      <c r="I27" s="21">
        <f>(E22*'Available Land_Plant Land Use'!$D$13)/1000000</f>
        <v>7.1386610400000006</v>
      </c>
    </row>
  </sheetData>
  <mergeCells count="3">
    <mergeCell ref="E3:I3"/>
    <mergeCell ref="B3:C3"/>
    <mergeCell ref="N3: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2265D-3615-47E0-8DE7-A168120100E5}">
  <dimension ref="A1:Q118"/>
  <sheetViews>
    <sheetView tabSelected="1" topLeftCell="A86" workbookViewId="0">
      <selection activeCell="G108" sqref="G108"/>
    </sheetView>
  </sheetViews>
  <sheetFormatPr defaultRowHeight="14.4" x14ac:dyDescent="0.55000000000000004"/>
  <cols>
    <col min="1" max="1" width="16.62890625" bestFit="1" customWidth="1"/>
    <col min="2" max="2" width="17.83984375" bestFit="1" customWidth="1"/>
    <col min="3" max="3" width="11.578125" bestFit="1" customWidth="1"/>
    <col min="5" max="5" width="12.83984375" bestFit="1" customWidth="1"/>
    <col min="6" max="6" width="15.3125" bestFit="1" customWidth="1"/>
    <col min="7" max="8" width="15.3125" customWidth="1"/>
    <col min="9" max="9" width="14.3125" bestFit="1" customWidth="1"/>
    <col min="11" max="11" width="38.89453125" bestFit="1" customWidth="1"/>
    <col min="12" max="12" width="18.1015625" bestFit="1" customWidth="1"/>
    <col min="13" max="13" width="18.734375" bestFit="1" customWidth="1"/>
    <col min="14" max="14" width="15.47265625" customWidth="1"/>
    <col min="15" max="16" width="15.05078125" bestFit="1" customWidth="1"/>
    <col min="17" max="17" width="16.05078125" bestFit="1" customWidth="1"/>
  </cols>
  <sheetData>
    <row r="1" spans="1:17" x14ac:dyDescent="0.55000000000000004">
      <c r="A1" t="s">
        <v>5</v>
      </c>
      <c r="K1" t="s">
        <v>20</v>
      </c>
      <c r="L1">
        <v>437087.06999999972</v>
      </c>
    </row>
    <row r="2" spans="1:17" ht="14.7" thickBot="1" x14ac:dyDescent="0.6"/>
    <row r="3" spans="1:17" ht="14.7" thickBot="1" x14ac:dyDescent="0.6">
      <c r="A3" s="3" t="s">
        <v>11</v>
      </c>
      <c r="B3" s="41" t="s">
        <v>15</v>
      </c>
      <c r="C3" s="41"/>
      <c r="E3" s="42" t="s">
        <v>16</v>
      </c>
      <c r="F3" s="42"/>
      <c r="G3" s="42"/>
      <c r="H3" s="42"/>
      <c r="I3" s="42"/>
    </row>
    <row r="4" spans="1:17" x14ac:dyDescent="0.55000000000000004">
      <c r="A4" s="18" t="s">
        <v>22</v>
      </c>
      <c r="B4" s="4" t="s">
        <v>0</v>
      </c>
      <c r="C4" s="4"/>
      <c r="D4" s="4"/>
      <c r="E4" s="4" t="s">
        <v>36</v>
      </c>
      <c r="F4" s="4" t="s">
        <v>17</v>
      </c>
      <c r="G4" s="4" t="s">
        <v>63</v>
      </c>
      <c r="H4" s="4" t="s">
        <v>35</v>
      </c>
      <c r="I4" s="5" t="s">
        <v>2</v>
      </c>
    </row>
    <row r="5" spans="1:17" x14ac:dyDescent="0.55000000000000004">
      <c r="A5" s="6" t="s">
        <v>3</v>
      </c>
      <c r="B5" s="14">
        <v>116276</v>
      </c>
      <c r="E5">
        <v>25</v>
      </c>
      <c r="F5" s="8">
        <f>E5*B5</f>
        <v>2906900</v>
      </c>
      <c r="G5">
        <v>89580</v>
      </c>
      <c r="H5" s="19">
        <f>G5/(E5*8760)</f>
        <v>0.40904109589041093</v>
      </c>
      <c r="I5" s="9" t="s">
        <v>8</v>
      </c>
      <c r="M5" t="s">
        <v>67</v>
      </c>
      <c r="N5" s="43" t="s">
        <v>91</v>
      </c>
      <c r="O5" s="43"/>
      <c r="P5" s="43"/>
      <c r="Q5" s="43"/>
    </row>
    <row r="6" spans="1:17" x14ac:dyDescent="0.55000000000000004">
      <c r="A6" s="6" t="s">
        <v>4</v>
      </c>
      <c r="B6" s="14">
        <v>75772</v>
      </c>
      <c r="E6">
        <v>380</v>
      </c>
      <c r="F6" s="8">
        <f>E6*B6</f>
        <v>28793360</v>
      </c>
      <c r="G6">
        <v>309620</v>
      </c>
      <c r="H6" s="19">
        <f>G6/(E6*8760)</f>
        <v>9.3012496995914448E-2</v>
      </c>
      <c r="I6" s="9" t="s">
        <v>9</v>
      </c>
      <c r="N6" s="27" t="s">
        <v>69</v>
      </c>
      <c r="O6" s="27" t="s">
        <v>70</v>
      </c>
      <c r="P6" s="27" t="s">
        <v>71</v>
      </c>
      <c r="Q6" s="27" t="s">
        <v>72</v>
      </c>
    </row>
    <row r="7" spans="1:17" x14ac:dyDescent="0.55000000000000004">
      <c r="A7" s="6" t="s">
        <v>134</v>
      </c>
      <c r="B7" s="7">
        <v>226540</v>
      </c>
      <c r="E7">
        <v>40</v>
      </c>
      <c r="F7" s="8">
        <f>E7*B7</f>
        <v>9061600</v>
      </c>
      <c r="G7">
        <v>52437</v>
      </c>
      <c r="H7" s="19">
        <f>G7/(E7*8760)</f>
        <v>0.14964897260273974</v>
      </c>
      <c r="I7" s="9" t="s">
        <v>9</v>
      </c>
      <c r="N7" s="28" t="s">
        <v>73</v>
      </c>
      <c r="O7" s="29">
        <f>I15</f>
        <v>135.77642550716504</v>
      </c>
      <c r="P7" s="29">
        <f>I28</f>
        <v>127.56158629904114</v>
      </c>
      <c r="Q7" s="29">
        <f>I41</f>
        <v>127.42905435294628</v>
      </c>
    </row>
    <row r="8" spans="1:17" ht="14.7" thickBot="1" x14ac:dyDescent="0.6">
      <c r="A8" s="6"/>
      <c r="B8" s="7"/>
      <c r="I8" s="9"/>
      <c r="N8" s="28" t="s">
        <v>74</v>
      </c>
      <c r="O8" s="30">
        <f>I16</f>
        <v>7.5109721600000006</v>
      </c>
      <c r="P8" s="30">
        <f>I29</f>
        <v>6.6307801099999999</v>
      </c>
      <c r="Q8" s="31">
        <f>I42</f>
        <v>6.553485084000001</v>
      </c>
    </row>
    <row r="9" spans="1:17" x14ac:dyDescent="0.55000000000000004">
      <c r="A9" s="10" t="s">
        <v>6</v>
      </c>
      <c r="B9" t="s">
        <v>52</v>
      </c>
      <c r="C9" t="s">
        <v>10</v>
      </c>
      <c r="E9" t="s">
        <v>1</v>
      </c>
      <c r="H9" t="s">
        <v>21</v>
      </c>
      <c r="I9" s="5" t="s">
        <v>2</v>
      </c>
      <c r="N9" s="28" t="s">
        <v>75</v>
      </c>
      <c r="O9" s="32">
        <f>E6</f>
        <v>380</v>
      </c>
      <c r="P9" s="32">
        <f>E19</f>
        <v>370</v>
      </c>
      <c r="Q9" s="32">
        <f>E32</f>
        <v>367</v>
      </c>
    </row>
    <row r="10" spans="1:17" x14ac:dyDescent="0.55000000000000004">
      <c r="A10" s="6" t="s">
        <v>7</v>
      </c>
      <c r="B10" s="1">
        <v>15700</v>
      </c>
      <c r="C10">
        <v>0</v>
      </c>
      <c r="E10">
        <v>541</v>
      </c>
      <c r="F10" s="8">
        <f>E10*B10</f>
        <v>8493700</v>
      </c>
      <c r="G10" s="8"/>
      <c r="H10" s="24">
        <f>E10/70</f>
        <v>7.7285714285714286</v>
      </c>
      <c r="I10" s="9" t="s">
        <v>9</v>
      </c>
      <c r="N10" s="28" t="s">
        <v>76</v>
      </c>
      <c r="O10" s="32">
        <f>E5</f>
        <v>25</v>
      </c>
      <c r="P10" s="32">
        <f>E18</f>
        <v>50</v>
      </c>
      <c r="Q10" s="32">
        <f>E31</f>
        <v>53</v>
      </c>
    </row>
    <row r="11" spans="1:17" x14ac:dyDescent="0.55000000000000004">
      <c r="A11" s="6" t="s">
        <v>135</v>
      </c>
      <c r="B11" s="1">
        <v>4290</v>
      </c>
      <c r="C11">
        <v>966</v>
      </c>
      <c r="E11">
        <v>1440</v>
      </c>
      <c r="F11" s="8">
        <f>E11*B11</f>
        <v>6177600</v>
      </c>
      <c r="G11" s="8"/>
      <c r="H11">
        <f>E11/E14</f>
        <v>24</v>
      </c>
      <c r="I11" s="9" t="s">
        <v>9</v>
      </c>
      <c r="N11" s="28" t="s">
        <v>79</v>
      </c>
      <c r="O11" s="32">
        <f>E7</f>
        <v>40</v>
      </c>
      <c r="P11" s="32">
        <f>E20</f>
        <v>13</v>
      </c>
      <c r="Q11" s="32">
        <f>E33</f>
        <v>12</v>
      </c>
    </row>
    <row r="12" spans="1:17" ht="14.7" thickBot="1" x14ac:dyDescent="0.6">
      <c r="A12" s="6"/>
      <c r="B12" s="1"/>
      <c r="F12" s="8"/>
      <c r="G12" s="8"/>
      <c r="I12" s="9"/>
      <c r="N12" s="39"/>
    </row>
    <row r="13" spans="1:17" x14ac:dyDescent="0.55000000000000004">
      <c r="A13" s="10" t="s">
        <v>50</v>
      </c>
      <c r="B13" s="4" t="s">
        <v>26</v>
      </c>
      <c r="E13" t="s">
        <v>36</v>
      </c>
      <c r="F13" s="8"/>
      <c r="I13" s="5" t="s">
        <v>2</v>
      </c>
    </row>
    <row r="14" spans="1:17" x14ac:dyDescent="0.55000000000000004">
      <c r="A14" s="6" t="s">
        <v>133</v>
      </c>
      <c r="B14" s="1">
        <v>65216</v>
      </c>
      <c r="E14">
        <v>60</v>
      </c>
      <c r="F14" s="8">
        <f t="shared" ref="F14" si="0">E14*B14</f>
        <v>3912960</v>
      </c>
      <c r="I14" s="9" t="s">
        <v>9</v>
      </c>
    </row>
    <row r="15" spans="1:17" ht="14.7" thickBot="1" x14ac:dyDescent="0.6">
      <c r="A15" s="11"/>
      <c r="B15" s="12"/>
      <c r="C15" s="12"/>
      <c r="D15" s="12"/>
      <c r="E15" s="15" t="s">
        <v>18</v>
      </c>
      <c r="F15" s="16">
        <f>SUM(F10:F11,F5:F7,F14)</f>
        <v>59346120</v>
      </c>
      <c r="G15" s="16"/>
      <c r="H15" s="15" t="s">
        <v>19</v>
      </c>
      <c r="I15" s="17">
        <f>F15/$L$1</f>
        <v>135.77642550716504</v>
      </c>
      <c r="K15" s="1"/>
      <c r="N15" s="28" t="s">
        <v>80</v>
      </c>
      <c r="O15" s="33" t="s">
        <v>82</v>
      </c>
      <c r="P15" s="33" t="s">
        <v>83</v>
      </c>
      <c r="Q15" s="33" t="s">
        <v>85</v>
      </c>
    </row>
    <row r="16" spans="1:17" ht="14.7" thickBot="1" x14ac:dyDescent="0.6">
      <c r="A16" s="3" t="s">
        <v>12</v>
      </c>
      <c r="H16" t="s">
        <v>46</v>
      </c>
      <c r="I16" s="21">
        <f>(E6*'Available Land_Plant Land Use'!$D$13+E7*'Available Land_Plant Land Use'!$D$14)/1000000</f>
        <v>7.5109721600000006</v>
      </c>
      <c r="K16" s="2"/>
      <c r="N16" s="28" t="s">
        <v>81</v>
      </c>
      <c r="O16" s="33" t="s">
        <v>84</v>
      </c>
      <c r="P16" s="33" t="s">
        <v>84</v>
      </c>
      <c r="Q16" s="33" t="s">
        <v>84</v>
      </c>
    </row>
    <row r="17" spans="1:9" x14ac:dyDescent="0.55000000000000004">
      <c r="A17" s="18" t="s">
        <v>22</v>
      </c>
      <c r="B17" s="4" t="s">
        <v>26</v>
      </c>
      <c r="C17" s="4"/>
      <c r="D17" s="4"/>
      <c r="E17" s="4" t="s">
        <v>36</v>
      </c>
      <c r="F17" s="4" t="s">
        <v>17</v>
      </c>
      <c r="G17" s="4" t="s">
        <v>63</v>
      </c>
      <c r="H17" s="4" t="s">
        <v>35</v>
      </c>
      <c r="I17" s="5" t="s">
        <v>2</v>
      </c>
    </row>
    <row r="18" spans="1:9" x14ac:dyDescent="0.55000000000000004">
      <c r="A18" s="6" t="s">
        <v>3</v>
      </c>
      <c r="B18" s="14">
        <v>116276</v>
      </c>
      <c r="E18">
        <v>50</v>
      </c>
      <c r="F18" s="8">
        <f>E18*B18</f>
        <v>5813800</v>
      </c>
      <c r="G18">
        <v>181118</v>
      </c>
      <c r="H18" s="19">
        <f>G18/(E18*8760)</f>
        <v>0.41351141552511417</v>
      </c>
      <c r="I18" s="9" t="s">
        <v>8</v>
      </c>
    </row>
    <row r="19" spans="1:9" x14ac:dyDescent="0.55000000000000004">
      <c r="A19" s="6" t="s">
        <v>4</v>
      </c>
      <c r="B19" s="14">
        <v>75772</v>
      </c>
      <c r="E19">
        <v>370</v>
      </c>
      <c r="F19" s="8">
        <f>E19*B19</f>
        <v>28035640</v>
      </c>
      <c r="G19">
        <v>248772</v>
      </c>
      <c r="H19" s="19">
        <f>G19/(E19*8760)</f>
        <v>7.6753054424287301E-2</v>
      </c>
      <c r="I19" s="9" t="s">
        <v>9</v>
      </c>
    </row>
    <row r="20" spans="1:9" x14ac:dyDescent="0.55000000000000004">
      <c r="A20" s="6" t="s">
        <v>134</v>
      </c>
      <c r="B20" s="7">
        <v>226540</v>
      </c>
      <c r="E20">
        <v>13</v>
      </c>
      <c r="F20" s="8">
        <f>E20*B20</f>
        <v>2945020</v>
      </c>
      <c r="G20">
        <v>19499</v>
      </c>
      <c r="H20" s="19">
        <f>G20/(E20*8760)</f>
        <v>0.17122409553916404</v>
      </c>
      <c r="I20" s="9" t="s">
        <v>9</v>
      </c>
    </row>
    <row r="21" spans="1:9" ht="14.7" thickBot="1" x14ac:dyDescent="0.6">
      <c r="A21" s="6"/>
      <c r="I21" s="9"/>
    </row>
    <row r="22" spans="1:9" x14ac:dyDescent="0.55000000000000004">
      <c r="A22" s="10" t="s">
        <v>6</v>
      </c>
      <c r="B22" t="s">
        <v>53</v>
      </c>
      <c r="C22" t="s">
        <v>10</v>
      </c>
      <c r="E22" t="s">
        <v>1</v>
      </c>
      <c r="F22" s="4" t="s">
        <v>17</v>
      </c>
      <c r="H22" t="s">
        <v>21</v>
      </c>
      <c r="I22" s="5" t="s">
        <v>2</v>
      </c>
    </row>
    <row r="23" spans="1:9" x14ac:dyDescent="0.55000000000000004">
      <c r="A23" s="6" t="s">
        <v>7</v>
      </c>
      <c r="B23" s="1">
        <v>15700</v>
      </c>
      <c r="C23">
        <v>58</v>
      </c>
      <c r="E23">
        <v>565</v>
      </c>
      <c r="F23" s="8">
        <f>E23*B23</f>
        <v>8870500</v>
      </c>
      <c r="G23" s="8"/>
      <c r="H23" s="24">
        <f>E23/70</f>
        <v>8.0714285714285712</v>
      </c>
      <c r="I23" s="9" t="s">
        <v>9</v>
      </c>
    </row>
    <row r="24" spans="1:9" x14ac:dyDescent="0.55000000000000004">
      <c r="A24" s="6" t="s">
        <v>135</v>
      </c>
      <c r="B24" s="1">
        <v>4290</v>
      </c>
      <c r="C24">
        <v>0</v>
      </c>
      <c r="E24">
        <v>1440</v>
      </c>
      <c r="F24" s="8">
        <f>E24*B24</f>
        <v>6177600</v>
      </c>
      <c r="G24" s="8"/>
      <c r="H24">
        <f>E24/E27</f>
        <v>24</v>
      </c>
      <c r="I24" s="9" t="s">
        <v>8</v>
      </c>
    </row>
    <row r="25" spans="1:9" ht="14.7" thickBot="1" x14ac:dyDescent="0.6">
      <c r="A25" s="6"/>
      <c r="B25" s="1"/>
      <c r="F25" s="8"/>
      <c r="G25" s="8"/>
      <c r="I25" s="9"/>
    </row>
    <row r="26" spans="1:9" x14ac:dyDescent="0.55000000000000004">
      <c r="A26" s="10" t="s">
        <v>50</v>
      </c>
      <c r="B26" s="4" t="s">
        <v>26</v>
      </c>
      <c r="E26" t="s">
        <v>36</v>
      </c>
      <c r="F26" s="8"/>
      <c r="I26" s="5" t="s">
        <v>2</v>
      </c>
    </row>
    <row r="27" spans="1:9" x14ac:dyDescent="0.55000000000000004">
      <c r="A27" s="6" t="s">
        <v>133</v>
      </c>
      <c r="B27" s="1">
        <v>65216</v>
      </c>
      <c r="E27">
        <v>60</v>
      </c>
      <c r="F27" s="8">
        <f t="shared" ref="F27" si="1">E27*B27</f>
        <v>3912960</v>
      </c>
      <c r="I27" s="9" t="s">
        <v>9</v>
      </c>
    </row>
    <row r="28" spans="1:9" ht="14.7" thickBot="1" x14ac:dyDescent="0.6">
      <c r="A28" s="11"/>
      <c r="B28" s="13"/>
      <c r="C28" s="12"/>
      <c r="D28" s="12"/>
      <c r="E28" s="15" t="s">
        <v>18</v>
      </c>
      <c r="F28" s="16">
        <f>SUM(F23:F24,F18:F20,F27)</f>
        <v>55755520</v>
      </c>
      <c r="G28" s="16"/>
      <c r="H28" s="15" t="s">
        <v>19</v>
      </c>
      <c r="I28" s="17">
        <f>F28/$L$1</f>
        <v>127.56158629904114</v>
      </c>
    </row>
    <row r="29" spans="1:9" ht="14.7" thickBot="1" x14ac:dyDescent="0.6">
      <c r="A29" s="3" t="s">
        <v>13</v>
      </c>
      <c r="H29" t="s">
        <v>46</v>
      </c>
      <c r="I29" s="21">
        <f>(E19*'Available Land_Plant Land Use'!$D$13+E20*'Available Land_Plant Land Use'!$D$14)/1000000</f>
        <v>6.6307801099999999</v>
      </c>
    </row>
    <row r="30" spans="1:9" x14ac:dyDescent="0.55000000000000004">
      <c r="A30" s="18" t="s">
        <v>22</v>
      </c>
      <c r="B30" s="4" t="s">
        <v>26</v>
      </c>
      <c r="C30" s="4"/>
      <c r="D30" s="4"/>
      <c r="E30" s="4" t="s">
        <v>36</v>
      </c>
      <c r="F30" s="4" t="s">
        <v>17</v>
      </c>
      <c r="G30" s="4" t="s">
        <v>63</v>
      </c>
      <c r="H30" s="4" t="s">
        <v>35</v>
      </c>
      <c r="I30" s="5" t="s">
        <v>2</v>
      </c>
    </row>
    <row r="31" spans="1:9" x14ac:dyDescent="0.55000000000000004">
      <c r="A31" s="6" t="s">
        <v>3</v>
      </c>
      <c r="B31" s="14">
        <v>116276</v>
      </c>
      <c r="E31">
        <v>53</v>
      </c>
      <c r="F31" s="8">
        <f>E31*B31</f>
        <v>6162628</v>
      </c>
      <c r="G31">
        <v>197414</v>
      </c>
      <c r="H31" s="19">
        <f>G31/(E31*8760)</f>
        <v>0.42520461790298958</v>
      </c>
      <c r="I31" s="9" t="s">
        <v>9</v>
      </c>
    </row>
    <row r="32" spans="1:9" ht="15.3" customHeight="1" x14ac:dyDescent="0.55000000000000004">
      <c r="A32" s="6" t="s">
        <v>4</v>
      </c>
      <c r="B32" s="14">
        <v>75772</v>
      </c>
      <c r="E32">
        <v>367</v>
      </c>
      <c r="F32" s="8">
        <f>E32*B32</f>
        <v>27808324</v>
      </c>
      <c r="G32">
        <v>233387</v>
      </c>
      <c r="H32" s="19">
        <f>G32/(E32*8760)</f>
        <v>7.2594963482761621E-2</v>
      </c>
      <c r="I32" s="9" t="s">
        <v>9</v>
      </c>
    </row>
    <row r="33" spans="1:9" x14ac:dyDescent="0.55000000000000004">
      <c r="A33" s="6" t="s">
        <v>134</v>
      </c>
      <c r="B33" s="7">
        <v>226540</v>
      </c>
      <c r="E33">
        <v>12</v>
      </c>
      <c r="F33" s="8">
        <f>E33*B33</f>
        <v>2718480</v>
      </c>
      <c r="G33">
        <v>17590</v>
      </c>
      <c r="H33" s="19">
        <f>G33/(E33*8760)</f>
        <v>0.16733257229832571</v>
      </c>
      <c r="I33" s="9" t="s">
        <v>9</v>
      </c>
    </row>
    <row r="34" spans="1:9" ht="14.7" thickBot="1" x14ac:dyDescent="0.6">
      <c r="A34" s="6"/>
      <c r="I34" s="9"/>
    </row>
    <row r="35" spans="1:9" x14ac:dyDescent="0.55000000000000004">
      <c r="A35" s="10" t="s">
        <v>6</v>
      </c>
      <c r="B35" t="s">
        <v>53</v>
      </c>
      <c r="C35" t="s">
        <v>10</v>
      </c>
      <c r="E35" t="s">
        <v>1</v>
      </c>
      <c r="F35" s="4" t="s">
        <v>17</v>
      </c>
      <c r="H35" t="s">
        <v>21</v>
      </c>
      <c r="I35" s="5" t="s">
        <v>2</v>
      </c>
    </row>
    <row r="36" spans="1:9" x14ac:dyDescent="0.55000000000000004">
      <c r="A36" s="6" t="s">
        <v>7</v>
      </c>
      <c r="B36" s="1">
        <v>15700</v>
      </c>
      <c r="C36">
        <v>47</v>
      </c>
      <c r="E36">
        <v>568</v>
      </c>
      <c r="F36" s="8">
        <f>E36*B36</f>
        <v>8917600</v>
      </c>
      <c r="G36" s="8"/>
      <c r="H36" s="24">
        <f>E36/70</f>
        <v>8.1142857142857139</v>
      </c>
      <c r="I36" s="9" t="s">
        <v>9</v>
      </c>
    </row>
    <row r="37" spans="1:9" x14ac:dyDescent="0.55000000000000004">
      <c r="A37" s="6" t="s">
        <v>135</v>
      </c>
      <c r="B37" s="1">
        <v>4290</v>
      </c>
      <c r="C37">
        <v>0</v>
      </c>
      <c r="E37">
        <v>1440</v>
      </c>
      <c r="F37" s="8">
        <f>E37*B37</f>
        <v>6177600</v>
      </c>
      <c r="G37" s="8"/>
      <c r="H37">
        <f>E37/E40</f>
        <v>24</v>
      </c>
      <c r="I37" s="9" t="s">
        <v>8</v>
      </c>
    </row>
    <row r="38" spans="1:9" ht="14.7" thickBot="1" x14ac:dyDescent="0.6">
      <c r="A38" s="6"/>
      <c r="B38" s="1"/>
      <c r="F38" s="8"/>
      <c r="G38" s="8"/>
      <c r="I38" s="9"/>
    </row>
    <row r="39" spans="1:9" x14ac:dyDescent="0.55000000000000004">
      <c r="A39" s="10" t="s">
        <v>50</v>
      </c>
      <c r="B39" s="4" t="s">
        <v>26</v>
      </c>
      <c r="E39" t="s">
        <v>36</v>
      </c>
      <c r="F39" s="8"/>
      <c r="I39" s="5" t="s">
        <v>2</v>
      </c>
    </row>
    <row r="40" spans="1:9" x14ac:dyDescent="0.55000000000000004">
      <c r="A40" s="6" t="s">
        <v>133</v>
      </c>
      <c r="B40" s="1">
        <v>65216</v>
      </c>
      <c r="E40">
        <v>60</v>
      </c>
      <c r="F40" s="8">
        <f t="shared" ref="F40" si="2">E40*B40</f>
        <v>3912960</v>
      </c>
      <c r="I40" s="9" t="s">
        <v>9</v>
      </c>
    </row>
    <row r="41" spans="1:9" ht="14.7" thickBot="1" x14ac:dyDescent="0.6">
      <c r="A41" s="11"/>
      <c r="B41" s="12"/>
      <c r="C41" s="12"/>
      <c r="D41" s="12"/>
      <c r="E41" s="15" t="s">
        <v>18</v>
      </c>
      <c r="F41" s="16">
        <f>SUM(F36:F37,F31:F33,F40)</f>
        <v>55697592</v>
      </c>
      <c r="G41" s="16"/>
      <c r="H41" s="15" t="s">
        <v>19</v>
      </c>
      <c r="I41" s="17">
        <f>F41/$L$1</f>
        <v>127.42905435294628</v>
      </c>
    </row>
    <row r="42" spans="1:9" x14ac:dyDescent="0.55000000000000004">
      <c r="H42" t="s">
        <v>46</v>
      </c>
      <c r="I42" s="21">
        <f>(E32*'Available Land_Plant Land Use'!$D$13+E33*'Available Land_Plant Land Use'!$D$14)/1000000</f>
        <v>6.553485084000001</v>
      </c>
    </row>
    <row r="43" spans="1:9" ht="14.7" thickBot="1" x14ac:dyDescent="0.6"/>
    <row r="44" spans="1:9" ht="14.7" thickBot="1" x14ac:dyDescent="0.6">
      <c r="A44" s="3" t="s">
        <v>117</v>
      </c>
      <c r="B44" s="41" t="s">
        <v>15</v>
      </c>
      <c r="C44" s="41"/>
      <c r="E44" s="42" t="s">
        <v>16</v>
      </c>
      <c r="F44" s="42"/>
      <c r="G44" s="42"/>
      <c r="H44" s="42"/>
      <c r="I44" s="42"/>
    </row>
    <row r="45" spans="1:9" x14ac:dyDescent="0.55000000000000004">
      <c r="A45" s="18" t="s">
        <v>22</v>
      </c>
      <c r="B45" s="4" t="s">
        <v>0</v>
      </c>
      <c r="C45" s="4"/>
      <c r="D45" s="4"/>
      <c r="E45" s="4" t="s">
        <v>36</v>
      </c>
      <c r="F45" s="4" t="s">
        <v>17</v>
      </c>
      <c r="G45" s="4" t="s">
        <v>63</v>
      </c>
      <c r="H45" s="4" t="s">
        <v>35</v>
      </c>
      <c r="I45" s="5" t="s">
        <v>2</v>
      </c>
    </row>
    <row r="46" spans="1:9" x14ac:dyDescent="0.55000000000000004">
      <c r="A46" s="6" t="s">
        <v>3</v>
      </c>
      <c r="B46" s="1">
        <v>116276</v>
      </c>
      <c r="E46">
        <v>25</v>
      </c>
      <c r="F46" s="8">
        <f>E46*B46</f>
        <v>2906900</v>
      </c>
      <c r="G46">
        <v>93507</v>
      </c>
      <c r="H46" s="19">
        <f>G46/(E46*8760)</f>
        <v>0.42697260273972604</v>
      </c>
      <c r="I46" s="9" t="s">
        <v>8</v>
      </c>
    </row>
    <row r="47" spans="1:9" x14ac:dyDescent="0.55000000000000004">
      <c r="A47" s="6" t="s">
        <v>4</v>
      </c>
      <c r="B47" s="1">
        <v>102973</v>
      </c>
      <c r="E47">
        <v>341</v>
      </c>
      <c r="F47" s="8">
        <f>E47*B47</f>
        <v>35113793</v>
      </c>
      <c r="G47">
        <v>305213</v>
      </c>
      <c r="H47" s="19">
        <f>G47/(E47*8760)</f>
        <v>0.10217497556207233</v>
      </c>
      <c r="I47" s="9" t="s">
        <v>9</v>
      </c>
    </row>
    <row r="48" spans="1:9" x14ac:dyDescent="0.55000000000000004">
      <c r="A48" s="6" t="s">
        <v>134</v>
      </c>
      <c r="B48" s="7">
        <v>226540</v>
      </c>
      <c r="E48">
        <v>57</v>
      </c>
      <c r="F48" s="8">
        <f>E48*B48</f>
        <v>12912780</v>
      </c>
      <c r="G48">
        <v>52471</v>
      </c>
      <c r="H48" s="19">
        <f>G48/(E48*8760)</f>
        <v>0.10508491548505969</v>
      </c>
      <c r="I48" s="9" t="s">
        <v>9</v>
      </c>
    </row>
    <row r="49" spans="1:14" ht="14.7" thickBot="1" x14ac:dyDescent="0.6">
      <c r="A49" s="6"/>
      <c r="B49" s="7"/>
      <c r="I49" s="9"/>
    </row>
    <row r="50" spans="1:14" x14ac:dyDescent="0.55000000000000004">
      <c r="A50" s="10" t="s">
        <v>6</v>
      </c>
      <c r="B50" t="s">
        <v>52</v>
      </c>
      <c r="C50" t="s">
        <v>10</v>
      </c>
      <c r="E50" t="s">
        <v>1</v>
      </c>
      <c r="H50" t="s">
        <v>21</v>
      </c>
      <c r="I50" s="5" t="s">
        <v>2</v>
      </c>
    </row>
    <row r="51" spans="1:14" x14ac:dyDescent="0.55000000000000004">
      <c r="A51" s="6" t="s">
        <v>7</v>
      </c>
      <c r="B51" s="1">
        <v>15700</v>
      </c>
      <c r="C51">
        <v>114</v>
      </c>
      <c r="E51">
        <v>519</v>
      </c>
      <c r="F51" s="8">
        <f>E51*B51</f>
        <v>8148300</v>
      </c>
      <c r="G51" s="8"/>
      <c r="H51" s="24">
        <f>E51/70</f>
        <v>7.4142857142857146</v>
      </c>
      <c r="I51" s="9" t="s">
        <v>9</v>
      </c>
    </row>
    <row r="52" spans="1:14" x14ac:dyDescent="0.55000000000000004">
      <c r="A52" s="6" t="s">
        <v>135</v>
      </c>
      <c r="B52" s="1">
        <v>4290</v>
      </c>
      <c r="C52">
        <v>792</v>
      </c>
      <c r="E52">
        <v>1440</v>
      </c>
      <c r="F52" s="8">
        <f>E52*B52</f>
        <v>6177600</v>
      </c>
      <c r="G52" s="8"/>
      <c r="H52">
        <f>E52/E55</f>
        <v>24</v>
      </c>
      <c r="I52" s="9" t="s">
        <v>9</v>
      </c>
    </row>
    <row r="53" spans="1:14" ht="14.7" thickBot="1" x14ac:dyDescent="0.6">
      <c r="A53" s="6"/>
      <c r="B53" s="1"/>
      <c r="F53" s="8"/>
      <c r="G53" s="8"/>
      <c r="I53" s="9"/>
      <c r="N53" s="39"/>
    </row>
    <row r="54" spans="1:14" x14ac:dyDescent="0.55000000000000004">
      <c r="A54" s="10" t="s">
        <v>50</v>
      </c>
      <c r="B54" s="4" t="s">
        <v>26</v>
      </c>
      <c r="E54" t="s">
        <v>36</v>
      </c>
      <c r="F54" s="8"/>
      <c r="I54" s="5" t="s">
        <v>2</v>
      </c>
    </row>
    <row r="55" spans="1:14" x14ac:dyDescent="0.55000000000000004">
      <c r="A55" s="6" t="s">
        <v>133</v>
      </c>
      <c r="B55" s="1">
        <v>65216</v>
      </c>
      <c r="E55">
        <v>60</v>
      </c>
      <c r="F55" s="8">
        <f t="shared" ref="F55" si="3">E55*B55</f>
        <v>3912960</v>
      </c>
      <c r="I55" s="9" t="s">
        <v>9</v>
      </c>
    </row>
    <row r="56" spans="1:14" ht="14.7" thickBot="1" x14ac:dyDescent="0.6">
      <c r="A56" s="11"/>
      <c r="B56" s="12"/>
      <c r="C56" s="12"/>
      <c r="D56" s="12"/>
      <c r="E56" s="15" t="s">
        <v>18</v>
      </c>
      <c r="F56" s="16">
        <f>SUM(F51:F52,F46:F48,F55)</f>
        <v>69172333</v>
      </c>
      <c r="G56" s="16"/>
      <c r="H56" s="15" t="s">
        <v>19</v>
      </c>
      <c r="I56" s="17">
        <f>F56/$L$1</f>
        <v>158.25755952927193</v>
      </c>
    </row>
    <row r="57" spans="1:14" x14ac:dyDescent="0.55000000000000004">
      <c r="H57" t="s">
        <v>46</v>
      </c>
      <c r="I57" s="21">
        <f>(E47*'Available Land_Plant Land Use'!$D$13+E48*'Available Land_Plant Land Use'!$D$14)/1000000</f>
        <v>7.2952745220000006</v>
      </c>
    </row>
    <row r="58" spans="1:14" ht="14.7" thickBot="1" x14ac:dyDescent="0.6"/>
    <row r="59" spans="1:14" ht="14.7" thickBot="1" x14ac:dyDescent="0.6">
      <c r="A59" s="3" t="s">
        <v>121</v>
      </c>
      <c r="B59" s="41" t="s">
        <v>15</v>
      </c>
      <c r="C59" s="41"/>
      <c r="E59" s="42" t="s">
        <v>16</v>
      </c>
      <c r="F59" s="42"/>
      <c r="G59" s="42"/>
      <c r="H59" s="42"/>
      <c r="I59" s="42"/>
    </row>
    <row r="60" spans="1:14" x14ac:dyDescent="0.55000000000000004">
      <c r="A60" s="18" t="s">
        <v>22</v>
      </c>
      <c r="B60" s="4" t="s">
        <v>0</v>
      </c>
      <c r="C60" s="4"/>
      <c r="D60" s="4"/>
      <c r="E60" s="4" t="s">
        <v>36</v>
      </c>
      <c r="F60" s="4" t="s">
        <v>17</v>
      </c>
      <c r="G60" s="4" t="s">
        <v>63</v>
      </c>
      <c r="H60" s="4" t="s">
        <v>35</v>
      </c>
      <c r="I60" s="5" t="s">
        <v>2</v>
      </c>
    </row>
    <row r="61" spans="1:14" x14ac:dyDescent="0.55000000000000004">
      <c r="A61" s="6" t="s">
        <v>3</v>
      </c>
      <c r="B61" s="14">
        <v>116276</v>
      </c>
      <c r="E61">
        <v>25</v>
      </c>
      <c r="F61" s="8">
        <f>E61*B61</f>
        <v>2906900</v>
      </c>
      <c r="G61">
        <v>89917</v>
      </c>
      <c r="H61" s="19">
        <f>G61/(E61*8760)</f>
        <v>0.41057990867579908</v>
      </c>
      <c r="I61" s="9" t="s">
        <v>8</v>
      </c>
    </row>
    <row r="62" spans="1:14" x14ac:dyDescent="0.55000000000000004">
      <c r="A62" s="6" t="s">
        <v>4</v>
      </c>
      <c r="B62" s="14">
        <v>47196</v>
      </c>
      <c r="E62">
        <v>461</v>
      </c>
      <c r="F62" s="8">
        <f>E62*B62</f>
        <v>21757356</v>
      </c>
      <c r="G62">
        <v>340302</v>
      </c>
      <c r="H62" s="19">
        <f>G62/(E62*8760)</f>
        <v>8.4267375865450328E-2</v>
      </c>
      <c r="I62" s="9" t="s">
        <v>9</v>
      </c>
    </row>
    <row r="63" spans="1:14" x14ac:dyDescent="0.55000000000000004">
      <c r="A63" s="6" t="s">
        <v>134</v>
      </c>
      <c r="B63" s="7">
        <v>226540</v>
      </c>
      <c r="E63">
        <v>15</v>
      </c>
      <c r="F63" s="8">
        <f>E63*B63</f>
        <v>3398100</v>
      </c>
      <c r="G63">
        <v>23592</v>
      </c>
      <c r="H63" s="19">
        <f>G63/(E63*8760)</f>
        <v>0.17954337899543379</v>
      </c>
      <c r="I63" s="9" t="s">
        <v>9</v>
      </c>
    </row>
    <row r="64" spans="1:14" ht="14.7" thickBot="1" x14ac:dyDescent="0.6">
      <c r="A64" s="6"/>
      <c r="B64" s="7"/>
      <c r="I64" s="9"/>
    </row>
    <row r="65" spans="1:14" x14ac:dyDescent="0.55000000000000004">
      <c r="A65" s="10" t="s">
        <v>6</v>
      </c>
      <c r="B65" t="s">
        <v>52</v>
      </c>
      <c r="C65" t="s">
        <v>10</v>
      </c>
      <c r="E65" t="s">
        <v>1</v>
      </c>
      <c r="H65" t="s">
        <v>21</v>
      </c>
      <c r="I65" s="5" t="s">
        <v>2</v>
      </c>
    </row>
    <row r="66" spans="1:14" x14ac:dyDescent="0.55000000000000004">
      <c r="A66" s="6" t="s">
        <v>7</v>
      </c>
      <c r="B66" s="1">
        <v>15700</v>
      </c>
      <c r="C66">
        <v>160</v>
      </c>
      <c r="E66">
        <v>577</v>
      </c>
      <c r="F66" s="8">
        <f>E66*B66</f>
        <v>9058900</v>
      </c>
      <c r="G66" s="8"/>
      <c r="H66" s="24">
        <f>E66/70</f>
        <v>8.242857142857142</v>
      </c>
      <c r="I66" s="9" t="s">
        <v>9</v>
      </c>
    </row>
    <row r="67" spans="1:14" x14ac:dyDescent="0.55000000000000004">
      <c r="A67" s="6" t="s">
        <v>135</v>
      </c>
      <c r="B67" s="1">
        <v>4290</v>
      </c>
      <c r="C67">
        <v>732</v>
      </c>
      <c r="E67">
        <v>1440</v>
      </c>
      <c r="F67" s="8">
        <f>E67*B67</f>
        <v>6177600</v>
      </c>
      <c r="G67" s="8"/>
      <c r="H67">
        <f>E67/E70</f>
        <v>24</v>
      </c>
      <c r="I67" s="9" t="s">
        <v>8</v>
      </c>
    </row>
    <row r="68" spans="1:14" ht="14.7" thickBot="1" x14ac:dyDescent="0.6">
      <c r="A68" s="6"/>
      <c r="B68" s="1"/>
      <c r="F68" s="8"/>
      <c r="G68" s="8"/>
      <c r="I68" s="9"/>
      <c r="N68" s="39"/>
    </row>
    <row r="69" spans="1:14" x14ac:dyDescent="0.55000000000000004">
      <c r="A69" s="10" t="s">
        <v>50</v>
      </c>
      <c r="B69" s="4" t="s">
        <v>26</v>
      </c>
      <c r="E69" t="s">
        <v>36</v>
      </c>
      <c r="F69" s="8"/>
      <c r="I69" s="5" t="s">
        <v>2</v>
      </c>
    </row>
    <row r="70" spans="1:14" x14ac:dyDescent="0.55000000000000004">
      <c r="A70" s="6" t="s">
        <v>133</v>
      </c>
      <c r="B70" s="1">
        <v>65216</v>
      </c>
      <c r="E70">
        <v>60</v>
      </c>
      <c r="F70" s="8">
        <f t="shared" ref="F70" si="4">E70*B70</f>
        <v>3912960</v>
      </c>
      <c r="I70" s="9" t="s">
        <v>55</v>
      </c>
    </row>
    <row r="71" spans="1:14" ht="14.7" thickBot="1" x14ac:dyDescent="0.6">
      <c r="A71" s="11"/>
      <c r="B71" s="12"/>
      <c r="C71" s="12"/>
      <c r="D71" s="12"/>
      <c r="E71" s="15" t="s">
        <v>18</v>
      </c>
      <c r="F71" s="16">
        <f>SUM(F66:F67,F61:F63,F70)</f>
        <v>47211816</v>
      </c>
      <c r="G71" s="16"/>
      <c r="H71" s="15" t="s">
        <v>19</v>
      </c>
      <c r="I71" s="17">
        <f>F71/$L$1</f>
        <v>108.01467085265192</v>
      </c>
    </row>
    <row r="72" spans="1:14" x14ac:dyDescent="0.55000000000000004">
      <c r="A72" s="3"/>
      <c r="H72" t="s">
        <v>46</v>
      </c>
      <c r="I72" s="21">
        <f>(E62*'Available Land_Plant Land Use'!$D$13+E63*'Available Land_Plant Land Use'!$D$14)/1000000</f>
        <v>8.230099182</v>
      </c>
    </row>
    <row r="73" spans="1:14" ht="14.7" thickBot="1" x14ac:dyDescent="0.6"/>
    <row r="74" spans="1:14" ht="14.7" thickBot="1" x14ac:dyDescent="0.6">
      <c r="A74" s="3" t="s">
        <v>120</v>
      </c>
      <c r="B74" s="41" t="s">
        <v>15</v>
      </c>
      <c r="C74" s="41"/>
      <c r="E74" s="42" t="s">
        <v>16</v>
      </c>
      <c r="F74" s="42"/>
      <c r="G74" s="42"/>
      <c r="H74" s="42"/>
      <c r="I74" s="42"/>
    </row>
    <row r="75" spans="1:14" x14ac:dyDescent="0.55000000000000004">
      <c r="A75" s="18" t="s">
        <v>22</v>
      </c>
      <c r="B75" s="4" t="s">
        <v>0</v>
      </c>
      <c r="C75" s="4"/>
      <c r="D75" s="4"/>
      <c r="E75" s="4" t="s">
        <v>36</v>
      </c>
      <c r="F75" s="4" t="s">
        <v>17</v>
      </c>
      <c r="G75" s="4" t="s">
        <v>63</v>
      </c>
      <c r="H75" s="4" t="s">
        <v>35</v>
      </c>
      <c r="I75" s="5" t="s">
        <v>2</v>
      </c>
      <c r="K75" s="44" t="s">
        <v>123</v>
      </c>
      <c r="L75" s="45"/>
      <c r="M75" s="46"/>
    </row>
    <row r="76" spans="1:14" x14ac:dyDescent="0.55000000000000004">
      <c r="A76" s="6" t="s">
        <v>3</v>
      </c>
      <c r="B76" s="14">
        <v>116276</v>
      </c>
      <c r="E76">
        <v>25</v>
      </c>
      <c r="F76" s="8">
        <f>E76*B76</f>
        <v>2906900</v>
      </c>
      <c r="G76">
        <v>89023</v>
      </c>
      <c r="H76" s="19">
        <f>G76/(E76*8760)</f>
        <v>0.40649771689497716</v>
      </c>
      <c r="I76" s="9" t="s">
        <v>8</v>
      </c>
      <c r="K76" s="27" t="s">
        <v>69</v>
      </c>
      <c r="L76" s="27" t="s">
        <v>124</v>
      </c>
      <c r="M76" s="27" t="s">
        <v>125</v>
      </c>
    </row>
    <row r="77" spans="1:14" x14ac:dyDescent="0.55000000000000004">
      <c r="A77" s="6" t="s">
        <v>4</v>
      </c>
      <c r="B77" s="14">
        <v>75772</v>
      </c>
      <c r="E77">
        <v>435</v>
      </c>
      <c r="F77" s="8">
        <f>E77*B77</f>
        <v>32960820</v>
      </c>
      <c r="G77">
        <v>334731</v>
      </c>
      <c r="H77" s="19">
        <f>G77/(E77*8760)</f>
        <v>8.784207211462762E-2</v>
      </c>
      <c r="I77" s="9" t="s">
        <v>9</v>
      </c>
      <c r="K77" s="28" t="s">
        <v>73</v>
      </c>
      <c r="L77" s="29">
        <f>I86</f>
        <v>143.35160269096966</v>
      </c>
      <c r="M77" s="29">
        <f>I102</f>
        <v>126.66651520942963</v>
      </c>
    </row>
    <row r="78" spans="1:14" x14ac:dyDescent="0.55000000000000004">
      <c r="A78" s="6" t="s">
        <v>134</v>
      </c>
      <c r="B78" s="7">
        <v>271848</v>
      </c>
      <c r="E78">
        <v>19</v>
      </c>
      <c r="F78" s="8">
        <f>E78*B78</f>
        <v>5165112</v>
      </c>
      <c r="G78">
        <v>29641</v>
      </c>
      <c r="H78" s="19">
        <f>G78/(E78*8760)</f>
        <v>0.17808819995193464</v>
      </c>
      <c r="I78" s="9" t="s">
        <v>9</v>
      </c>
      <c r="K78" s="28" t="s">
        <v>74</v>
      </c>
      <c r="L78" s="30">
        <f>I87</f>
        <v>7.8934004300000007</v>
      </c>
      <c r="M78" s="30">
        <f>I103</f>
        <v>7.3907804180000003</v>
      </c>
    </row>
    <row r="79" spans="1:14" ht="14.7" thickBot="1" x14ac:dyDescent="0.6">
      <c r="A79" s="6"/>
      <c r="B79" s="7"/>
      <c r="I79" s="9"/>
      <c r="K79" s="28" t="s">
        <v>75</v>
      </c>
      <c r="L79" s="32">
        <f>E77</f>
        <v>435</v>
      </c>
      <c r="M79" s="38">
        <f>E93</f>
        <v>359</v>
      </c>
    </row>
    <row r="80" spans="1:14" x14ac:dyDescent="0.55000000000000004">
      <c r="A80" s="10" t="s">
        <v>6</v>
      </c>
      <c r="B80" t="s">
        <v>52</v>
      </c>
      <c r="C80" t="s">
        <v>10</v>
      </c>
      <c r="E80" t="s">
        <v>1</v>
      </c>
      <c r="H80" t="s">
        <v>21</v>
      </c>
      <c r="I80" s="5" t="s">
        <v>2</v>
      </c>
      <c r="K80" s="28" t="s">
        <v>76</v>
      </c>
      <c r="L80" s="32">
        <f>E76</f>
        <v>25</v>
      </c>
      <c r="M80" s="32">
        <f>E92</f>
        <v>25</v>
      </c>
    </row>
    <row r="81" spans="1:14" x14ac:dyDescent="0.55000000000000004">
      <c r="A81" s="6" t="s">
        <v>7</v>
      </c>
      <c r="B81" s="1">
        <v>15700</v>
      </c>
      <c r="C81">
        <v>162</v>
      </c>
      <c r="E81">
        <v>606</v>
      </c>
      <c r="F81" s="8">
        <f>E81*B81</f>
        <v>9514200</v>
      </c>
      <c r="G81" s="8"/>
      <c r="H81" s="24">
        <f>E81/70</f>
        <v>8.6571428571428566</v>
      </c>
      <c r="I81" s="9" t="s">
        <v>9</v>
      </c>
      <c r="K81" s="28" t="s">
        <v>79</v>
      </c>
      <c r="L81" s="32">
        <f>E78</f>
        <v>19</v>
      </c>
      <c r="M81" s="32">
        <f>E94</f>
        <v>49</v>
      </c>
    </row>
    <row r="82" spans="1:14" x14ac:dyDescent="0.55000000000000004">
      <c r="A82" s="6" t="s">
        <v>135</v>
      </c>
      <c r="B82" s="1">
        <v>5149</v>
      </c>
      <c r="C82">
        <v>572</v>
      </c>
      <c r="E82">
        <v>1440</v>
      </c>
      <c r="F82" s="8">
        <f>E82*B82</f>
        <v>7414560</v>
      </c>
      <c r="G82" s="8"/>
      <c r="H82">
        <f>E82/E85</f>
        <v>24</v>
      </c>
      <c r="I82" s="9" t="s">
        <v>9</v>
      </c>
      <c r="K82" s="28" t="s">
        <v>80</v>
      </c>
      <c r="L82" s="33" t="s">
        <v>126</v>
      </c>
      <c r="M82" s="33" t="s">
        <v>127</v>
      </c>
    </row>
    <row r="83" spans="1:14" ht="14.7" thickBot="1" x14ac:dyDescent="0.6">
      <c r="A83" s="6"/>
      <c r="B83" s="1"/>
      <c r="F83" s="8"/>
      <c r="G83" s="8"/>
      <c r="I83" s="9"/>
      <c r="N83" s="39"/>
    </row>
    <row r="84" spans="1:14" x14ac:dyDescent="0.55000000000000004">
      <c r="A84" s="10" t="s">
        <v>50</v>
      </c>
      <c r="B84" s="4" t="s">
        <v>26</v>
      </c>
      <c r="E84" t="s">
        <v>36</v>
      </c>
      <c r="F84" s="8"/>
      <c r="I84" s="5" t="s">
        <v>2</v>
      </c>
    </row>
    <row r="85" spans="1:14" x14ac:dyDescent="0.55000000000000004">
      <c r="A85" s="6" t="s">
        <v>133</v>
      </c>
      <c r="B85" s="1">
        <v>78259</v>
      </c>
      <c r="E85">
        <v>60</v>
      </c>
      <c r="F85" s="8">
        <f t="shared" ref="F85" si="5">E85*B85</f>
        <v>4695540</v>
      </c>
      <c r="I85" s="9" t="s">
        <v>9</v>
      </c>
    </row>
    <row r="86" spans="1:14" ht="14.7" thickBot="1" x14ac:dyDescent="0.6">
      <c r="A86" s="11"/>
      <c r="B86" s="12"/>
      <c r="C86" s="12"/>
      <c r="D86" s="12"/>
      <c r="E86" s="15" t="s">
        <v>18</v>
      </c>
      <c r="F86" s="16">
        <f>SUM(F81:F82,F76:F78,F85)</f>
        <v>62657132</v>
      </c>
      <c r="G86" s="16"/>
      <c r="H86" s="15" t="s">
        <v>19</v>
      </c>
      <c r="I86" s="17">
        <f>F86/$L$1</f>
        <v>143.35160269096966</v>
      </c>
      <c r="K86" s="28" t="s">
        <v>81</v>
      </c>
      <c r="L86" s="33" t="s">
        <v>84</v>
      </c>
      <c r="M86" s="33" t="s">
        <v>84</v>
      </c>
    </row>
    <row r="87" spans="1:14" x14ac:dyDescent="0.55000000000000004">
      <c r="A87" s="3"/>
      <c r="H87" t="s">
        <v>46</v>
      </c>
      <c r="I87" s="21">
        <f>(E77*'Available Land_Plant Land Use'!$D$13+E78*'Available Land_Plant Land Use'!$D$14)/1000000</f>
        <v>7.8934004300000007</v>
      </c>
    </row>
    <row r="89" spans="1:14" ht="14.7" thickBot="1" x14ac:dyDescent="0.6"/>
    <row r="90" spans="1:14" ht="14.7" thickBot="1" x14ac:dyDescent="0.6">
      <c r="A90" s="3" t="s">
        <v>122</v>
      </c>
      <c r="B90" s="41" t="s">
        <v>15</v>
      </c>
      <c r="C90" s="41"/>
      <c r="E90" s="42" t="s">
        <v>16</v>
      </c>
      <c r="F90" s="42"/>
      <c r="G90" s="42"/>
      <c r="H90" s="42"/>
      <c r="I90" s="42"/>
    </row>
    <row r="91" spans="1:14" x14ac:dyDescent="0.55000000000000004">
      <c r="A91" s="18" t="s">
        <v>22</v>
      </c>
      <c r="B91" s="4" t="s">
        <v>0</v>
      </c>
      <c r="C91" s="4"/>
      <c r="D91" s="4"/>
      <c r="E91" s="4" t="s">
        <v>36</v>
      </c>
      <c r="F91" s="4" t="s">
        <v>17</v>
      </c>
      <c r="G91" s="4" t="s">
        <v>63</v>
      </c>
      <c r="H91" s="4" t="s">
        <v>35</v>
      </c>
      <c r="I91" s="5" t="s">
        <v>2</v>
      </c>
    </row>
    <row r="92" spans="1:14" x14ac:dyDescent="0.55000000000000004">
      <c r="A92" s="6" t="s">
        <v>3</v>
      </c>
      <c r="B92" s="14">
        <v>116276</v>
      </c>
      <c r="E92">
        <v>25</v>
      </c>
      <c r="F92" s="8">
        <f>E92*B92</f>
        <v>2906900</v>
      </c>
      <c r="G92">
        <v>91360</v>
      </c>
      <c r="H92" s="19">
        <f>G92/(E92*8760)</f>
        <v>0.4171689497716895</v>
      </c>
      <c r="I92" s="9" t="s">
        <v>8</v>
      </c>
    </row>
    <row r="93" spans="1:14" x14ac:dyDescent="0.55000000000000004">
      <c r="A93" s="6" t="s">
        <v>4</v>
      </c>
      <c r="B93" s="14">
        <v>75772</v>
      </c>
      <c r="E93">
        <v>359</v>
      </c>
      <c r="F93" s="8">
        <f>E93*B93</f>
        <v>27202148</v>
      </c>
      <c r="G93">
        <v>310683</v>
      </c>
      <c r="H93" s="19">
        <f>G93/(E93*8760)</f>
        <v>9.8791353455183736E-2</v>
      </c>
      <c r="I93" s="9" t="s">
        <v>9</v>
      </c>
    </row>
    <row r="94" spans="1:14" x14ac:dyDescent="0.55000000000000004">
      <c r="A94" s="6" t="s">
        <v>134</v>
      </c>
      <c r="B94" s="7">
        <v>181232</v>
      </c>
      <c r="E94">
        <v>49</v>
      </c>
      <c r="F94" s="8">
        <f>E94*B94</f>
        <v>8880368</v>
      </c>
      <c r="G94">
        <v>47524</v>
      </c>
      <c r="H94" s="19">
        <f>G94/(E94*8760)</f>
        <v>0.1107166154132886</v>
      </c>
      <c r="I94" s="9" t="s">
        <v>9</v>
      </c>
    </row>
    <row r="95" spans="1:14" ht="14.7" thickBot="1" x14ac:dyDescent="0.6">
      <c r="A95" s="6"/>
      <c r="B95" s="7"/>
      <c r="I95" s="9"/>
    </row>
    <row r="96" spans="1:14" x14ac:dyDescent="0.55000000000000004">
      <c r="A96" s="10" t="s">
        <v>6</v>
      </c>
      <c r="B96" t="s">
        <v>52</v>
      </c>
      <c r="C96" t="s">
        <v>10</v>
      </c>
      <c r="E96" t="s">
        <v>1</v>
      </c>
      <c r="H96" t="s">
        <v>21</v>
      </c>
      <c r="I96" s="5" t="s">
        <v>2</v>
      </c>
    </row>
    <row r="97" spans="1:14" x14ac:dyDescent="0.55000000000000004">
      <c r="A97" s="6" t="s">
        <v>7</v>
      </c>
      <c r="B97" s="1">
        <v>15700</v>
      </c>
      <c r="C97">
        <v>2</v>
      </c>
      <c r="E97">
        <v>529</v>
      </c>
      <c r="F97" s="8">
        <f>E97*B97</f>
        <v>8305300</v>
      </c>
      <c r="G97" s="8"/>
      <c r="H97" s="24">
        <f>E97/70</f>
        <v>7.5571428571428569</v>
      </c>
      <c r="I97" s="9" t="s">
        <v>9</v>
      </c>
    </row>
    <row r="98" spans="1:14" x14ac:dyDescent="0.55000000000000004">
      <c r="A98" s="6" t="s">
        <v>135</v>
      </c>
      <c r="B98" s="1">
        <v>3430</v>
      </c>
      <c r="C98">
        <v>926</v>
      </c>
      <c r="E98">
        <v>1440</v>
      </c>
      <c r="F98" s="8">
        <f>E98*B98</f>
        <v>4939200</v>
      </c>
      <c r="G98" s="8"/>
      <c r="H98">
        <f>E98/E101</f>
        <v>24</v>
      </c>
      <c r="I98" s="9" t="s">
        <v>9</v>
      </c>
    </row>
    <row r="99" spans="1:14" ht="14.7" thickBot="1" x14ac:dyDescent="0.6">
      <c r="A99" s="6"/>
      <c r="B99" s="1"/>
      <c r="F99" s="8"/>
      <c r="G99" s="8"/>
      <c r="I99" s="9"/>
      <c r="N99" s="39"/>
    </row>
    <row r="100" spans="1:14" x14ac:dyDescent="0.55000000000000004">
      <c r="A100" s="10" t="s">
        <v>50</v>
      </c>
      <c r="B100" s="4" t="s">
        <v>26</v>
      </c>
      <c r="E100" t="s">
        <v>36</v>
      </c>
      <c r="F100" s="8"/>
      <c r="I100" s="5" t="s">
        <v>2</v>
      </c>
    </row>
    <row r="101" spans="1:14" x14ac:dyDescent="0.55000000000000004">
      <c r="A101" s="6" t="s">
        <v>133</v>
      </c>
      <c r="B101" s="1">
        <v>52173</v>
      </c>
      <c r="E101">
        <v>60</v>
      </c>
      <c r="F101" s="8">
        <f t="shared" ref="F101" si="6">E101*B101</f>
        <v>3130380</v>
      </c>
      <c r="I101" s="9" t="s">
        <v>9</v>
      </c>
    </row>
    <row r="102" spans="1:14" ht="14.7" thickBot="1" x14ac:dyDescent="0.6">
      <c r="A102" s="11"/>
      <c r="B102" s="12"/>
      <c r="C102" s="12"/>
      <c r="D102" s="12"/>
      <c r="E102" s="15" t="s">
        <v>18</v>
      </c>
      <c r="F102" s="16">
        <f>SUM(F97:F98,F92:F94,F101)</f>
        <v>55364296</v>
      </c>
      <c r="G102" s="16"/>
      <c r="H102" s="15" t="s">
        <v>19</v>
      </c>
      <c r="I102" s="17">
        <f>F102/$L$1</f>
        <v>126.66651520942963</v>
      </c>
    </row>
    <row r="103" spans="1:14" x14ac:dyDescent="0.55000000000000004">
      <c r="A103" s="3"/>
      <c r="H103" t="s">
        <v>46</v>
      </c>
      <c r="I103" s="21">
        <f>(E93*'Available Land_Plant Land Use'!$D$13+E94*'Available Land_Plant Land Use'!$D$14)/1000000</f>
        <v>7.3907804180000003</v>
      </c>
    </row>
    <row r="104" spans="1:14" ht="14.7" thickBot="1" x14ac:dyDescent="0.6"/>
    <row r="105" spans="1:14" ht="14.7" thickBot="1" x14ac:dyDescent="0.6">
      <c r="A105" s="3" t="s">
        <v>143</v>
      </c>
      <c r="H105" t="s">
        <v>46</v>
      </c>
      <c r="I105" s="21" t="e">
        <f>(E95*'Available Land_Plant Land Use'!$D$13+E96*'Available Land_Plant Land Use'!$D$14)/1000000</f>
        <v>#VALUE!</v>
      </c>
    </row>
    <row r="106" spans="1:14" x14ac:dyDescent="0.55000000000000004">
      <c r="A106" s="18" t="s">
        <v>22</v>
      </c>
      <c r="B106" s="4" t="s">
        <v>26</v>
      </c>
      <c r="C106" s="4"/>
      <c r="D106" s="4"/>
      <c r="E106" s="4" t="s">
        <v>36</v>
      </c>
      <c r="F106" s="4" t="s">
        <v>17</v>
      </c>
      <c r="G106" s="4" t="s">
        <v>63</v>
      </c>
      <c r="H106" s="4" t="s">
        <v>35</v>
      </c>
      <c r="I106" s="5" t="s">
        <v>2</v>
      </c>
    </row>
    <row r="107" spans="1:14" x14ac:dyDescent="0.55000000000000004">
      <c r="A107" s="6" t="s">
        <v>3</v>
      </c>
      <c r="B107" s="14">
        <v>116276</v>
      </c>
      <c r="E107">
        <v>53</v>
      </c>
      <c r="F107" s="8">
        <f>E107*B107</f>
        <v>6162628</v>
      </c>
      <c r="G107">
        <v>197371</v>
      </c>
      <c r="H107" s="19">
        <f>G107/(E107*8760)</f>
        <v>0.42511200137847849</v>
      </c>
      <c r="I107" s="9" t="s">
        <v>9</v>
      </c>
    </row>
    <row r="108" spans="1:14" x14ac:dyDescent="0.55000000000000004">
      <c r="A108" s="6" t="s">
        <v>4</v>
      </c>
      <c r="B108" s="14">
        <v>75772</v>
      </c>
      <c r="E108">
        <v>367</v>
      </c>
      <c r="F108" s="8">
        <f>E108*B108</f>
        <v>27808324</v>
      </c>
      <c r="G108">
        <v>234088</v>
      </c>
      <c r="H108" s="19">
        <f>G108/(E108*8760)</f>
        <v>7.2813009343933907E-2</v>
      </c>
      <c r="I108" s="9" t="s">
        <v>9</v>
      </c>
    </row>
    <row r="109" spans="1:14" x14ac:dyDescent="0.55000000000000004">
      <c r="A109" s="6" t="s">
        <v>134</v>
      </c>
      <c r="B109" s="7">
        <v>226540</v>
      </c>
      <c r="E109">
        <v>12</v>
      </c>
      <c r="F109" s="8">
        <f>E109*B109</f>
        <v>2718480</v>
      </c>
      <c r="G109">
        <v>16928</v>
      </c>
      <c r="H109" s="19">
        <f>G109/(E109*8760)</f>
        <v>0.16103500761035008</v>
      </c>
      <c r="I109" s="9" t="s">
        <v>9</v>
      </c>
    </row>
    <row r="110" spans="1:14" ht="14.7" thickBot="1" x14ac:dyDescent="0.6">
      <c r="A110" s="6"/>
      <c r="I110" s="9"/>
    </row>
    <row r="111" spans="1:14" x14ac:dyDescent="0.55000000000000004">
      <c r="A111" s="10" t="s">
        <v>6</v>
      </c>
      <c r="B111" t="s">
        <v>53</v>
      </c>
      <c r="C111" t="s">
        <v>10</v>
      </c>
      <c r="E111" t="s">
        <v>1</v>
      </c>
      <c r="F111" s="4" t="s">
        <v>17</v>
      </c>
      <c r="H111" t="s">
        <v>21</v>
      </c>
      <c r="I111" s="5" t="s">
        <v>2</v>
      </c>
    </row>
    <row r="112" spans="1:14" x14ac:dyDescent="0.55000000000000004">
      <c r="A112" s="6" t="s">
        <v>7</v>
      </c>
      <c r="B112" s="1">
        <v>15700</v>
      </c>
      <c r="C112">
        <v>47</v>
      </c>
      <c r="E112">
        <v>568</v>
      </c>
      <c r="F112" s="8">
        <f>E112*B112</f>
        <v>8917600</v>
      </c>
      <c r="G112" s="8"/>
      <c r="H112" s="24">
        <f>E112/70</f>
        <v>8.1142857142857139</v>
      </c>
      <c r="I112" s="9" t="s">
        <v>9</v>
      </c>
    </row>
    <row r="113" spans="1:9" x14ac:dyDescent="0.55000000000000004">
      <c r="A113" s="6" t="s">
        <v>135</v>
      </c>
      <c r="B113" s="1">
        <v>4290</v>
      </c>
      <c r="C113">
        <v>6</v>
      </c>
      <c r="E113">
        <v>1440</v>
      </c>
      <c r="F113" s="8">
        <f>E113*B113</f>
        <v>6177600</v>
      </c>
      <c r="G113" s="8"/>
      <c r="H113">
        <f>E113/E116</f>
        <v>36</v>
      </c>
      <c r="I113" s="9" t="s">
        <v>8</v>
      </c>
    </row>
    <row r="114" spans="1:9" ht="14.7" thickBot="1" x14ac:dyDescent="0.6">
      <c r="A114" s="6"/>
      <c r="B114" s="1"/>
      <c r="F114" s="8"/>
      <c r="G114" s="8"/>
      <c r="I114" s="9"/>
    </row>
    <row r="115" spans="1:9" x14ac:dyDescent="0.55000000000000004">
      <c r="A115" s="10" t="s">
        <v>50</v>
      </c>
      <c r="B115" s="4" t="s">
        <v>26</v>
      </c>
      <c r="E115" t="s">
        <v>36</v>
      </c>
      <c r="F115" s="8"/>
      <c r="I115" s="5" t="s">
        <v>2</v>
      </c>
    </row>
    <row r="116" spans="1:9" x14ac:dyDescent="0.55000000000000004">
      <c r="A116" s="6" t="s">
        <v>133</v>
      </c>
      <c r="B116" s="1">
        <v>65216</v>
      </c>
      <c r="E116">
        <v>40</v>
      </c>
      <c r="F116" s="8">
        <f t="shared" ref="F116" si="7">E116*B116</f>
        <v>2608640</v>
      </c>
      <c r="I116" s="9" t="s">
        <v>9</v>
      </c>
    </row>
    <row r="117" spans="1:9" ht="14.7" thickBot="1" x14ac:dyDescent="0.6">
      <c r="A117" s="11"/>
      <c r="B117" s="12"/>
      <c r="C117" s="12"/>
      <c r="D117" s="12"/>
      <c r="E117" s="15" t="s">
        <v>18</v>
      </c>
      <c r="F117" s="16">
        <f>SUM(F112:F113,F107:F109,F116)</f>
        <v>54393272</v>
      </c>
      <c r="G117" s="16"/>
      <c r="H117" s="15" t="s">
        <v>19</v>
      </c>
      <c r="I117" s="17">
        <f>F117/$L$1</f>
        <v>124.44493496455989</v>
      </c>
    </row>
    <row r="118" spans="1:9" x14ac:dyDescent="0.55000000000000004">
      <c r="H118" t="s">
        <v>46</v>
      </c>
      <c r="I118" s="21">
        <f>(E108*'Available Land_Plant Land Use'!$D$13+E109*'Available Land_Plant Land Use'!$D$14)/1000000</f>
        <v>6.553485084000001</v>
      </c>
    </row>
  </sheetData>
  <mergeCells count="12">
    <mergeCell ref="B90:C90"/>
    <mergeCell ref="E90:I90"/>
    <mergeCell ref="E3:I3"/>
    <mergeCell ref="B3:C3"/>
    <mergeCell ref="N5:Q5"/>
    <mergeCell ref="B44:C44"/>
    <mergeCell ref="E44:I44"/>
    <mergeCell ref="K75:M75"/>
    <mergeCell ref="B59:C59"/>
    <mergeCell ref="E59:I59"/>
    <mergeCell ref="B74:C74"/>
    <mergeCell ref="E74:I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434C-F925-42B2-8172-E12B815518D0}">
  <dimension ref="A1:Y143"/>
  <sheetViews>
    <sheetView topLeftCell="A111" zoomScaleNormal="100" workbookViewId="0">
      <selection activeCell="G131" sqref="G131"/>
    </sheetView>
  </sheetViews>
  <sheetFormatPr defaultRowHeight="14.4" x14ac:dyDescent="0.55000000000000004"/>
  <cols>
    <col min="1" max="1" width="41.68359375" bestFit="1" customWidth="1"/>
    <col min="2" max="2" width="17.83984375" bestFit="1" customWidth="1"/>
    <col min="3" max="3" width="19.41796875" bestFit="1" customWidth="1"/>
    <col min="5" max="5" width="10.5234375" bestFit="1" customWidth="1"/>
    <col min="6" max="6" width="16.62890625" bestFit="1" customWidth="1"/>
    <col min="7" max="7" width="21.47265625" bestFit="1" customWidth="1"/>
    <col min="8" max="8" width="21.47265625" customWidth="1"/>
    <col min="9" max="9" width="8.7890625" bestFit="1" customWidth="1"/>
    <col min="12" max="12" width="38.89453125" bestFit="1" customWidth="1"/>
    <col min="13" max="13" width="13.3671875" bestFit="1" customWidth="1"/>
    <col min="14" max="14" width="21.89453125" bestFit="1" customWidth="1"/>
    <col min="15" max="15" width="22.578125" bestFit="1" customWidth="1"/>
    <col min="16" max="16" width="10.62890625" bestFit="1" customWidth="1"/>
    <col min="20" max="20" width="15.9453125" bestFit="1" customWidth="1"/>
    <col min="21" max="21" width="37.3671875" bestFit="1" customWidth="1"/>
    <col min="22" max="23" width="15.05078125" bestFit="1" customWidth="1"/>
    <col min="24" max="24" width="17.1015625" bestFit="1" customWidth="1"/>
    <col min="25" max="25" width="10.62890625" bestFit="1" customWidth="1"/>
  </cols>
  <sheetData>
    <row r="1" spans="1:25" x14ac:dyDescent="0.55000000000000004">
      <c r="A1" t="s">
        <v>64</v>
      </c>
      <c r="K1" t="s">
        <v>20</v>
      </c>
      <c r="L1">
        <v>437087.06999999972</v>
      </c>
    </row>
    <row r="2" spans="1:25" ht="14.7" thickBot="1" x14ac:dyDescent="0.6"/>
    <row r="3" spans="1:25" ht="14.7" thickBot="1" x14ac:dyDescent="0.6">
      <c r="A3" s="3" t="s">
        <v>33</v>
      </c>
      <c r="B3" s="41" t="s">
        <v>15</v>
      </c>
      <c r="C3" s="41"/>
      <c r="E3" s="42" t="s">
        <v>16</v>
      </c>
      <c r="F3" s="42"/>
      <c r="G3" s="42"/>
      <c r="H3" s="42"/>
      <c r="I3" s="42"/>
      <c r="T3" t="s">
        <v>67</v>
      </c>
      <c r="U3" s="43" t="s">
        <v>90</v>
      </c>
      <c r="V3" s="43"/>
      <c r="W3" s="43"/>
      <c r="X3" s="43"/>
      <c r="Y3" s="43"/>
    </row>
    <row r="4" spans="1:25" x14ac:dyDescent="0.55000000000000004">
      <c r="A4" s="18" t="s">
        <v>22</v>
      </c>
      <c r="B4" s="4" t="s">
        <v>26</v>
      </c>
      <c r="C4" s="4" t="s">
        <v>27</v>
      </c>
      <c r="D4" s="4"/>
      <c r="E4" s="4" t="s">
        <v>36</v>
      </c>
      <c r="F4" s="4" t="s">
        <v>17</v>
      </c>
      <c r="G4" s="4" t="s">
        <v>31</v>
      </c>
      <c r="H4" s="4" t="s">
        <v>35</v>
      </c>
      <c r="I4" s="5" t="s">
        <v>2</v>
      </c>
      <c r="U4" s="27" t="s">
        <v>69</v>
      </c>
      <c r="V4" s="27" t="s">
        <v>33</v>
      </c>
      <c r="W4" s="27" t="s">
        <v>29</v>
      </c>
      <c r="X4" s="27" t="s">
        <v>32</v>
      </c>
      <c r="Y4" s="27" t="s">
        <v>34</v>
      </c>
    </row>
    <row r="5" spans="1:25" x14ac:dyDescent="0.55000000000000004">
      <c r="A5" s="6" t="s">
        <v>3</v>
      </c>
      <c r="B5" s="14">
        <v>116276</v>
      </c>
      <c r="E5">
        <v>90</v>
      </c>
      <c r="F5" s="8">
        <f>E5*B5</f>
        <v>10464840</v>
      </c>
      <c r="G5">
        <v>299650</v>
      </c>
      <c r="H5" s="19">
        <f t="shared" ref="H5:H7" si="0">G5/(E5*8760)</f>
        <v>0.38007356671740233</v>
      </c>
      <c r="I5" s="9" t="s">
        <v>9</v>
      </c>
      <c r="U5" s="28" t="s">
        <v>73</v>
      </c>
      <c r="V5" s="29">
        <f>I16</f>
        <v>83.456538762402701</v>
      </c>
      <c r="W5" s="29">
        <f>I34</f>
        <v>106.96816998041152</v>
      </c>
      <c r="X5" s="29">
        <f>I52</f>
        <v>119.19870793707084</v>
      </c>
      <c r="Y5" s="29">
        <f>I70</f>
        <v>120.6552644076157</v>
      </c>
    </row>
    <row r="6" spans="1:25" x14ac:dyDescent="0.55000000000000004">
      <c r="A6" s="6" t="s">
        <v>4</v>
      </c>
      <c r="B6" s="14">
        <v>75772</v>
      </c>
      <c r="E6">
        <v>107</v>
      </c>
      <c r="F6" s="8">
        <f>E6*B6</f>
        <v>8107604</v>
      </c>
      <c r="G6">
        <v>88618</v>
      </c>
      <c r="H6" s="19">
        <f t="shared" si="0"/>
        <v>9.4544019118337388E-2</v>
      </c>
      <c r="I6" s="9" t="s">
        <v>9</v>
      </c>
      <c r="U6" s="28" t="s">
        <v>74</v>
      </c>
      <c r="V6" s="30">
        <f>I17</f>
        <v>1.818658884</v>
      </c>
      <c r="W6" s="30">
        <f>I35</f>
        <v>4.3252839679999999</v>
      </c>
      <c r="X6" s="31">
        <f>I53</f>
        <v>5.7008116820000003</v>
      </c>
      <c r="Y6" s="31">
        <f>I71</f>
        <v>5.6745070919999998</v>
      </c>
    </row>
    <row r="7" spans="1:25" x14ac:dyDescent="0.55000000000000004">
      <c r="A7" s="6" t="s">
        <v>134</v>
      </c>
      <c r="B7" s="7">
        <v>226540</v>
      </c>
      <c r="E7">
        <v>0</v>
      </c>
      <c r="F7" s="8">
        <f>E7*B7</f>
        <v>0</v>
      </c>
      <c r="G7">
        <v>0</v>
      </c>
      <c r="H7" s="19" t="e">
        <f t="shared" si="0"/>
        <v>#DIV/0!</v>
      </c>
      <c r="I7" s="9" t="s">
        <v>9</v>
      </c>
      <c r="U7" s="28" t="s">
        <v>75</v>
      </c>
      <c r="V7" s="32">
        <f>E6</f>
        <v>107</v>
      </c>
      <c r="W7" s="32">
        <f>E24</f>
        <v>239</v>
      </c>
      <c r="X7" s="32">
        <f>E42</f>
        <v>306</v>
      </c>
      <c r="Y7" s="32">
        <f>E60</f>
        <v>306</v>
      </c>
    </row>
    <row r="8" spans="1:25" x14ac:dyDescent="0.55000000000000004">
      <c r="A8" s="6" t="s">
        <v>30</v>
      </c>
      <c r="B8" s="7">
        <v>154460</v>
      </c>
      <c r="C8">
        <v>170</v>
      </c>
      <c r="E8">
        <v>38.5</v>
      </c>
      <c r="F8" s="8">
        <f>E8*B8+G8*C8</f>
        <v>14843830</v>
      </c>
      <c r="G8">
        <v>52336</v>
      </c>
      <c r="H8" s="19">
        <f>G8/(E8*8760)</f>
        <v>0.15517997983751408</v>
      </c>
      <c r="I8" s="9" t="s">
        <v>9</v>
      </c>
      <c r="U8" s="28" t="s">
        <v>76</v>
      </c>
      <c r="V8" s="32">
        <f>E5</f>
        <v>90</v>
      </c>
      <c r="W8" s="32">
        <f>E23</f>
        <v>51</v>
      </c>
      <c r="X8" s="32">
        <f>E41</f>
        <v>57</v>
      </c>
      <c r="Y8" s="32">
        <f>E59</f>
        <v>69</v>
      </c>
    </row>
    <row r="9" spans="1:25" ht="14.7" thickBot="1" x14ac:dyDescent="0.6">
      <c r="A9" s="6"/>
      <c r="B9" s="7"/>
      <c r="I9" s="9"/>
      <c r="U9" s="28" t="s">
        <v>137</v>
      </c>
      <c r="V9" s="32">
        <f>E7</f>
        <v>0</v>
      </c>
      <c r="W9" s="32">
        <f>E25</f>
        <v>10</v>
      </c>
      <c r="X9" s="32">
        <f>E43</f>
        <v>19</v>
      </c>
      <c r="Y9" s="32">
        <f>E61</f>
        <v>18</v>
      </c>
    </row>
    <row r="10" spans="1:25" x14ac:dyDescent="0.55000000000000004">
      <c r="A10" s="10" t="s">
        <v>6</v>
      </c>
      <c r="B10" t="s">
        <v>53</v>
      </c>
      <c r="C10" t="s">
        <v>10</v>
      </c>
      <c r="E10" t="s">
        <v>1</v>
      </c>
      <c r="G10" t="s">
        <v>21</v>
      </c>
      <c r="I10" s="5" t="s">
        <v>2</v>
      </c>
      <c r="U10" s="28" t="s">
        <v>138</v>
      </c>
      <c r="V10" s="32">
        <f>E15</f>
        <v>0</v>
      </c>
      <c r="W10" s="32">
        <f>E33</f>
        <v>60</v>
      </c>
      <c r="X10" s="32">
        <f>E51</f>
        <v>60</v>
      </c>
      <c r="Y10" s="32">
        <f>E69</f>
        <v>60</v>
      </c>
    </row>
    <row r="11" spans="1:25" x14ac:dyDescent="0.55000000000000004">
      <c r="A11" s="6" t="s">
        <v>7</v>
      </c>
      <c r="B11" s="1">
        <v>15700</v>
      </c>
      <c r="C11">
        <v>0</v>
      </c>
      <c r="E11">
        <v>195</v>
      </c>
      <c r="F11" s="8">
        <f>E11*B11</f>
        <v>3061500</v>
      </c>
      <c r="G11" s="24">
        <f>E11/70</f>
        <v>2.7857142857142856</v>
      </c>
      <c r="I11" s="9" t="s">
        <v>9</v>
      </c>
      <c r="U11" s="28" t="s">
        <v>88</v>
      </c>
      <c r="V11" s="32">
        <f>E8</f>
        <v>38.5</v>
      </c>
      <c r="W11" s="32">
        <f>E26</f>
        <v>10</v>
      </c>
      <c r="X11" s="32">
        <f>E44</f>
        <v>5</v>
      </c>
      <c r="Y11" s="32">
        <f>E62</f>
        <v>3</v>
      </c>
    </row>
    <row r="12" spans="1:25" x14ac:dyDescent="0.55000000000000004">
      <c r="A12" s="6" t="s">
        <v>135</v>
      </c>
      <c r="B12" s="1">
        <v>4290</v>
      </c>
      <c r="C12">
        <v>0</v>
      </c>
      <c r="E12">
        <v>0</v>
      </c>
      <c r="F12" s="8">
        <f>E12*B12</f>
        <v>0</v>
      </c>
      <c r="G12" s="24">
        <f>E12/70</f>
        <v>0</v>
      </c>
      <c r="I12" s="9" t="s">
        <v>9</v>
      </c>
      <c r="U12" s="28" t="s">
        <v>80</v>
      </c>
      <c r="V12" s="33" t="s">
        <v>86</v>
      </c>
      <c r="W12" s="33" t="s">
        <v>87</v>
      </c>
      <c r="X12" s="33" t="s">
        <v>87</v>
      </c>
      <c r="Y12" s="33" t="s">
        <v>87</v>
      </c>
    </row>
    <row r="13" spans="1:25" ht="14.7" thickBot="1" x14ac:dyDescent="0.6">
      <c r="A13" s="6"/>
      <c r="B13" s="1"/>
      <c r="F13" s="8"/>
      <c r="G13" s="24"/>
      <c r="I13" s="9"/>
      <c r="U13" s="39"/>
      <c r="V13" s="40"/>
      <c r="W13" s="40"/>
      <c r="X13" s="40"/>
      <c r="Y13" s="40"/>
    </row>
    <row r="14" spans="1:25" x14ac:dyDescent="0.55000000000000004">
      <c r="A14" s="10" t="s">
        <v>50</v>
      </c>
      <c r="B14" s="4" t="s">
        <v>26</v>
      </c>
      <c r="E14" t="s">
        <v>36</v>
      </c>
      <c r="F14" s="8"/>
      <c r="I14" s="5" t="s">
        <v>2</v>
      </c>
    </row>
    <row r="15" spans="1:25" x14ac:dyDescent="0.55000000000000004">
      <c r="A15" s="6" t="s">
        <v>133</v>
      </c>
      <c r="B15" s="1">
        <v>65216</v>
      </c>
      <c r="E15">
        <v>0</v>
      </c>
      <c r="F15" s="8">
        <f t="shared" ref="F15" si="1">E15*B15</f>
        <v>0</v>
      </c>
      <c r="I15" s="9" t="s">
        <v>9</v>
      </c>
    </row>
    <row r="16" spans="1:25" ht="14.7" thickBot="1" x14ac:dyDescent="0.6">
      <c r="A16" s="11"/>
      <c r="B16" s="12"/>
      <c r="C16" s="12"/>
      <c r="D16" s="12"/>
      <c r="E16" s="15" t="s">
        <v>139</v>
      </c>
      <c r="F16" s="16">
        <f>SUM(F11:F12,F5:F8,F15)</f>
        <v>36477774</v>
      </c>
      <c r="G16" s="15"/>
      <c r="H16" s="15" t="s">
        <v>19</v>
      </c>
      <c r="I16" s="17">
        <f>F16/$L$1</f>
        <v>83.456538762402701</v>
      </c>
      <c r="U16" s="28" t="s">
        <v>81</v>
      </c>
      <c r="V16" s="33">
        <v>0</v>
      </c>
      <c r="W16" s="33" t="s">
        <v>141</v>
      </c>
      <c r="X16" s="33" t="s">
        <v>84</v>
      </c>
      <c r="Y16" s="33" t="s">
        <v>84</v>
      </c>
    </row>
    <row r="17" spans="1:25" x14ac:dyDescent="0.55000000000000004">
      <c r="G17" s="23">
        <f>1-G8/$L$1</f>
        <v>0.88026184348120839</v>
      </c>
      <c r="H17" t="s">
        <v>46</v>
      </c>
      <c r="I17" s="21">
        <f>(E6*'Available Land_Plant Land Use'!$D$13+E7*'Available Land_Plant Land Use'!$D$14)/1000000</f>
        <v>1.818658884</v>
      </c>
      <c r="U17" s="28" t="s">
        <v>89</v>
      </c>
      <c r="V17" s="32">
        <v>88</v>
      </c>
      <c r="W17" s="32">
        <v>97</v>
      </c>
      <c r="X17" s="32">
        <v>99</v>
      </c>
      <c r="Y17" s="32">
        <v>99.6</v>
      </c>
    </row>
    <row r="18" spans="1:25" x14ac:dyDescent="0.55000000000000004">
      <c r="G18" t="s">
        <v>65</v>
      </c>
    </row>
    <row r="20" spans="1:25" ht="14.7" thickBot="1" x14ac:dyDescent="0.6"/>
    <row r="21" spans="1:25" ht="14.7" thickBot="1" x14ac:dyDescent="0.6">
      <c r="A21" s="3" t="s">
        <v>29</v>
      </c>
      <c r="B21" s="41" t="s">
        <v>15</v>
      </c>
      <c r="C21" s="41"/>
      <c r="E21" s="42" t="s">
        <v>16</v>
      </c>
      <c r="F21" s="42"/>
      <c r="G21" s="42"/>
      <c r="H21" s="42"/>
      <c r="I21" s="42"/>
    </row>
    <row r="22" spans="1:25" x14ac:dyDescent="0.55000000000000004">
      <c r="A22" s="18" t="s">
        <v>22</v>
      </c>
      <c r="B22" s="4" t="s">
        <v>26</v>
      </c>
      <c r="C22" s="4" t="s">
        <v>27</v>
      </c>
      <c r="D22" s="4"/>
      <c r="E22" s="4" t="s">
        <v>36</v>
      </c>
      <c r="F22" s="4" t="s">
        <v>17</v>
      </c>
      <c r="G22" s="4" t="s">
        <v>31</v>
      </c>
      <c r="H22" s="4" t="s">
        <v>35</v>
      </c>
      <c r="I22" s="5" t="s">
        <v>2</v>
      </c>
    </row>
    <row r="23" spans="1:25" x14ac:dyDescent="0.55000000000000004">
      <c r="A23" s="6" t="s">
        <v>3</v>
      </c>
      <c r="B23" s="14">
        <v>116276</v>
      </c>
      <c r="E23">
        <v>51</v>
      </c>
      <c r="F23" s="8">
        <f>E23*B23</f>
        <v>5930076</v>
      </c>
      <c r="G23">
        <v>191068</v>
      </c>
      <c r="H23" s="19">
        <f t="shared" ref="H23:H25" si="2">G23/(E23*8760)</f>
        <v>0.42767481421792464</v>
      </c>
      <c r="I23" s="9" t="s">
        <v>9</v>
      </c>
    </row>
    <row r="24" spans="1:25" x14ac:dyDescent="0.55000000000000004">
      <c r="A24" s="6" t="s">
        <v>4</v>
      </c>
      <c r="B24" s="14">
        <v>75772</v>
      </c>
      <c r="E24">
        <v>239</v>
      </c>
      <c r="F24" s="8">
        <f>E24*B24</f>
        <v>18109508</v>
      </c>
      <c r="G24">
        <v>228223</v>
      </c>
      <c r="H24" s="19">
        <f t="shared" si="2"/>
        <v>0.10900775682543322</v>
      </c>
      <c r="I24" s="9" t="s">
        <v>9</v>
      </c>
    </row>
    <row r="25" spans="1:25" x14ac:dyDescent="0.55000000000000004">
      <c r="A25" s="6" t="s">
        <v>134</v>
      </c>
      <c r="B25" s="7">
        <v>226540</v>
      </c>
      <c r="E25">
        <v>10</v>
      </c>
      <c r="F25" s="8">
        <f>E25*B25</f>
        <v>2265400</v>
      </c>
      <c r="G25">
        <v>15484</v>
      </c>
      <c r="H25" s="19">
        <f t="shared" si="2"/>
        <v>0.1767579908675799</v>
      </c>
      <c r="I25" s="9" t="s">
        <v>9</v>
      </c>
    </row>
    <row r="26" spans="1:25" x14ac:dyDescent="0.55000000000000004">
      <c r="A26" s="6" t="s">
        <v>30</v>
      </c>
      <c r="B26" s="7">
        <v>154460</v>
      </c>
      <c r="C26">
        <v>170</v>
      </c>
      <c r="E26">
        <v>10</v>
      </c>
      <c r="F26" s="8">
        <f>E26*B26+G26*C26</f>
        <v>3794890</v>
      </c>
      <c r="G26">
        <v>13237</v>
      </c>
      <c r="H26" s="19">
        <f>G26/(E26*8760)</f>
        <v>0.15110730593607305</v>
      </c>
      <c r="I26" s="9" t="s">
        <v>8</v>
      </c>
    </row>
    <row r="27" spans="1:25" ht="14.7" thickBot="1" x14ac:dyDescent="0.6">
      <c r="A27" s="6"/>
      <c r="B27" s="7"/>
      <c r="I27" s="9"/>
    </row>
    <row r="28" spans="1:25" x14ac:dyDescent="0.55000000000000004">
      <c r="A28" s="10" t="s">
        <v>6</v>
      </c>
      <c r="B28" t="s">
        <v>53</v>
      </c>
      <c r="C28" t="s">
        <v>10</v>
      </c>
      <c r="E28" t="s">
        <v>1</v>
      </c>
      <c r="G28" t="s">
        <v>21</v>
      </c>
      <c r="I28" s="5" t="s">
        <v>2</v>
      </c>
    </row>
    <row r="29" spans="1:25" x14ac:dyDescent="0.55000000000000004">
      <c r="A29" s="6" t="s">
        <v>7</v>
      </c>
      <c r="B29" s="1">
        <v>15700</v>
      </c>
      <c r="C29">
        <v>1</v>
      </c>
      <c r="E29">
        <v>420</v>
      </c>
      <c r="F29" s="8">
        <f>E29*B29</f>
        <v>6594000</v>
      </c>
      <c r="G29">
        <f>E29/70</f>
        <v>6</v>
      </c>
      <c r="I29" s="9" t="s">
        <v>8</v>
      </c>
    </row>
    <row r="30" spans="1:25" x14ac:dyDescent="0.55000000000000004">
      <c r="A30" s="6" t="s">
        <v>135</v>
      </c>
      <c r="B30" s="1">
        <v>4290</v>
      </c>
      <c r="C30">
        <v>0</v>
      </c>
      <c r="E30">
        <v>1433</v>
      </c>
      <c r="F30" s="8">
        <f>E30*B30</f>
        <v>6147570</v>
      </c>
      <c r="G30" s="24">
        <f>E30/E33</f>
        <v>23.883333333333333</v>
      </c>
      <c r="I30" s="9" t="s">
        <v>9</v>
      </c>
    </row>
    <row r="31" spans="1:25" ht="14.7" thickBot="1" x14ac:dyDescent="0.6">
      <c r="A31" s="6"/>
      <c r="B31" s="1"/>
      <c r="F31" s="8"/>
      <c r="G31" s="24"/>
      <c r="I31" s="9"/>
    </row>
    <row r="32" spans="1:25" x14ac:dyDescent="0.55000000000000004">
      <c r="A32" s="10" t="s">
        <v>50</v>
      </c>
      <c r="B32" s="4" t="s">
        <v>26</v>
      </c>
      <c r="E32" t="s">
        <v>36</v>
      </c>
      <c r="F32" s="8"/>
      <c r="I32" s="5" t="s">
        <v>2</v>
      </c>
    </row>
    <row r="33" spans="1:9" x14ac:dyDescent="0.55000000000000004">
      <c r="A33" s="6" t="s">
        <v>133</v>
      </c>
      <c r="B33" s="1">
        <v>65216</v>
      </c>
      <c r="E33">
        <v>60</v>
      </c>
      <c r="F33" s="8">
        <f t="shared" ref="F33" si="3">E33*B33</f>
        <v>3912960</v>
      </c>
      <c r="I33" s="9" t="s">
        <v>9</v>
      </c>
    </row>
    <row r="34" spans="1:9" ht="14.7" thickBot="1" x14ac:dyDescent="0.6">
      <c r="A34" s="11"/>
      <c r="B34" s="12"/>
      <c r="C34" s="12"/>
      <c r="D34" s="12"/>
      <c r="E34" s="15" t="s">
        <v>139</v>
      </c>
      <c r="F34" s="16">
        <f>SUM(F29:F30,F23:F26,F33)</f>
        <v>46754404</v>
      </c>
      <c r="G34" s="15"/>
      <c r="H34" s="15" t="s">
        <v>19</v>
      </c>
      <c r="I34" s="17">
        <f>F34/$L$1</f>
        <v>106.96816998041152</v>
      </c>
    </row>
    <row r="35" spans="1:9" x14ac:dyDescent="0.55000000000000004">
      <c r="G35" s="23">
        <f>1- G26/$L$1</f>
        <v>0.96971541619842472</v>
      </c>
      <c r="H35" t="s">
        <v>46</v>
      </c>
      <c r="I35" s="21">
        <f>(E24*'Available Land_Plant Land Use'!$D$13+E25*'Available Land_Plant Land Use'!$D$14)/1000000</f>
        <v>4.3252839679999999</v>
      </c>
    </row>
    <row r="36" spans="1:9" x14ac:dyDescent="0.55000000000000004">
      <c r="G36" t="s">
        <v>65</v>
      </c>
    </row>
    <row r="38" spans="1:9" ht="14.7" thickBot="1" x14ac:dyDescent="0.6"/>
    <row r="39" spans="1:9" ht="14.7" thickBot="1" x14ac:dyDescent="0.6">
      <c r="A39" s="3" t="s">
        <v>32</v>
      </c>
      <c r="B39" s="41" t="s">
        <v>15</v>
      </c>
      <c r="C39" s="41"/>
      <c r="E39" s="42" t="s">
        <v>16</v>
      </c>
      <c r="F39" s="42"/>
      <c r="G39" s="42"/>
      <c r="H39" s="42"/>
      <c r="I39" s="42"/>
    </row>
    <row r="40" spans="1:9" x14ac:dyDescent="0.55000000000000004">
      <c r="A40" s="18" t="s">
        <v>22</v>
      </c>
      <c r="B40" s="4" t="s">
        <v>26</v>
      </c>
      <c r="C40" s="4" t="s">
        <v>27</v>
      </c>
      <c r="D40" s="4"/>
      <c r="E40" s="4" t="s">
        <v>36</v>
      </c>
      <c r="F40" s="4" t="s">
        <v>17</v>
      </c>
      <c r="G40" s="4" t="s">
        <v>31</v>
      </c>
      <c r="H40" s="4" t="s">
        <v>35</v>
      </c>
      <c r="I40" s="5" t="s">
        <v>2</v>
      </c>
    </row>
    <row r="41" spans="1:9" x14ac:dyDescent="0.55000000000000004">
      <c r="A41" s="6" t="s">
        <v>3</v>
      </c>
      <c r="B41" s="14">
        <v>116276</v>
      </c>
      <c r="E41">
        <v>57</v>
      </c>
      <c r="F41" s="8">
        <f>E41*B41</f>
        <v>6627732</v>
      </c>
      <c r="G41">
        <v>213086</v>
      </c>
      <c r="H41" s="19">
        <f t="shared" ref="H41:H43" si="4">G41/(E41*8760)</f>
        <v>0.42675238324120807</v>
      </c>
      <c r="I41" s="9" t="s">
        <v>9</v>
      </c>
    </row>
    <row r="42" spans="1:9" x14ac:dyDescent="0.55000000000000004">
      <c r="A42" s="6" t="s">
        <v>4</v>
      </c>
      <c r="B42" s="14">
        <v>75772</v>
      </c>
      <c r="E42">
        <v>306</v>
      </c>
      <c r="F42" s="8">
        <f>E42*B42</f>
        <v>23186232</v>
      </c>
      <c r="G42">
        <v>203460</v>
      </c>
      <c r="H42" s="19">
        <f t="shared" si="4"/>
        <v>7.5902050317844028E-2</v>
      </c>
      <c r="I42" s="9" t="s">
        <v>9</v>
      </c>
    </row>
    <row r="43" spans="1:9" x14ac:dyDescent="0.55000000000000004">
      <c r="A43" s="6" t="s">
        <v>134</v>
      </c>
      <c r="B43" s="7">
        <v>226540</v>
      </c>
      <c r="E43">
        <v>19</v>
      </c>
      <c r="F43" s="8">
        <f>E43*B43</f>
        <v>4304260</v>
      </c>
      <c r="G43">
        <v>26752</v>
      </c>
      <c r="H43" s="19">
        <f t="shared" si="4"/>
        <v>0.16073059360730593</v>
      </c>
      <c r="I43" s="9" t="s">
        <v>9</v>
      </c>
    </row>
    <row r="44" spans="1:9" x14ac:dyDescent="0.55000000000000004">
      <c r="A44" s="6" t="s">
        <v>30</v>
      </c>
      <c r="B44" s="7">
        <v>154460</v>
      </c>
      <c r="C44">
        <v>170</v>
      </c>
      <c r="E44">
        <v>5</v>
      </c>
      <c r="F44" s="8">
        <f>E44*B44+G44*C44</f>
        <v>1297430</v>
      </c>
      <c r="G44">
        <v>3089</v>
      </c>
      <c r="H44" s="19">
        <f>G44/(E44*8760)</f>
        <v>7.0525114155251145E-2</v>
      </c>
      <c r="I44" s="9" t="s">
        <v>8</v>
      </c>
    </row>
    <row r="45" spans="1:9" ht="14.7" thickBot="1" x14ac:dyDescent="0.6">
      <c r="A45" s="6"/>
      <c r="B45" s="7"/>
      <c r="I45" s="9"/>
    </row>
    <row r="46" spans="1:9" x14ac:dyDescent="0.55000000000000004">
      <c r="A46" s="10" t="s">
        <v>6</v>
      </c>
      <c r="B46" t="s">
        <v>53</v>
      </c>
      <c r="C46" t="s">
        <v>10</v>
      </c>
      <c r="E46" t="s">
        <v>1</v>
      </c>
      <c r="G46" t="s">
        <v>21</v>
      </c>
      <c r="I46" s="5" t="s">
        <v>2</v>
      </c>
    </row>
    <row r="47" spans="1:9" x14ac:dyDescent="0.55000000000000004">
      <c r="A47" s="6" t="s">
        <v>7</v>
      </c>
      <c r="B47" s="1">
        <v>15700</v>
      </c>
      <c r="C47">
        <v>22</v>
      </c>
      <c r="E47">
        <v>420</v>
      </c>
      <c r="F47" s="8">
        <f>E47*B47</f>
        <v>6594000</v>
      </c>
      <c r="G47" s="24">
        <f>E47/70</f>
        <v>6</v>
      </c>
      <c r="I47" s="9" t="s">
        <v>8</v>
      </c>
    </row>
    <row r="48" spans="1:9" x14ac:dyDescent="0.55000000000000004">
      <c r="A48" s="6" t="s">
        <v>135</v>
      </c>
      <c r="B48" s="1">
        <v>4290</v>
      </c>
      <c r="C48">
        <v>222</v>
      </c>
      <c r="E48">
        <v>1440</v>
      </c>
      <c r="F48" s="8">
        <f>E48*B48</f>
        <v>6177600</v>
      </c>
      <c r="G48" s="24">
        <f>E48/70</f>
        <v>20.571428571428573</v>
      </c>
      <c r="I48" s="9" t="s">
        <v>8</v>
      </c>
    </row>
    <row r="49" spans="1:9" ht="14.7" thickBot="1" x14ac:dyDescent="0.6">
      <c r="A49" s="6"/>
      <c r="B49" s="1"/>
      <c r="F49" s="8"/>
      <c r="G49" s="24"/>
      <c r="I49" s="9"/>
    </row>
    <row r="50" spans="1:9" x14ac:dyDescent="0.55000000000000004">
      <c r="A50" s="10" t="s">
        <v>50</v>
      </c>
      <c r="B50" s="4" t="s">
        <v>26</v>
      </c>
      <c r="E50" t="s">
        <v>36</v>
      </c>
      <c r="F50" s="8"/>
      <c r="I50" s="5" t="s">
        <v>2</v>
      </c>
    </row>
    <row r="51" spans="1:9" x14ac:dyDescent="0.55000000000000004">
      <c r="A51" s="6" t="s">
        <v>133</v>
      </c>
      <c r="B51" s="1">
        <v>65216</v>
      </c>
      <c r="E51">
        <v>60</v>
      </c>
      <c r="F51" s="8">
        <f t="shared" ref="F51" si="5">E51*B51</f>
        <v>3912960</v>
      </c>
      <c r="I51" s="9" t="s">
        <v>9</v>
      </c>
    </row>
    <row r="52" spans="1:9" ht="14.7" thickBot="1" x14ac:dyDescent="0.6">
      <c r="A52" s="11"/>
      <c r="B52" s="12"/>
      <c r="C52" s="12"/>
      <c r="D52" s="12"/>
      <c r="E52" s="15" t="s">
        <v>139</v>
      </c>
      <c r="F52" s="16">
        <f>SUM(F47:F48,F41:F44,F51)</f>
        <v>52100214</v>
      </c>
      <c r="G52" s="15"/>
      <c r="H52" s="15" t="s">
        <v>19</v>
      </c>
      <c r="I52" s="17">
        <f>F52/$L$1</f>
        <v>119.19870793707084</v>
      </c>
    </row>
    <row r="53" spans="1:9" x14ac:dyDescent="0.55000000000000004">
      <c r="G53" s="23">
        <f>1-G44/$L$1</f>
        <v>0.99293275822595251</v>
      </c>
      <c r="H53" t="s">
        <v>46</v>
      </c>
      <c r="I53" s="21">
        <f>(E42*'Available Land_Plant Land Use'!$D$13+E43*'Available Land_Plant Land Use'!$D$14)/1000000</f>
        <v>5.7008116820000003</v>
      </c>
    </row>
    <row r="54" spans="1:9" x14ac:dyDescent="0.55000000000000004">
      <c r="G54" t="s">
        <v>65</v>
      </c>
    </row>
    <row r="56" spans="1:9" ht="14.7" thickBot="1" x14ac:dyDescent="0.6"/>
    <row r="57" spans="1:9" ht="14.7" thickBot="1" x14ac:dyDescent="0.6">
      <c r="A57" s="3" t="s">
        <v>34</v>
      </c>
      <c r="B57" s="41" t="s">
        <v>15</v>
      </c>
      <c r="C57" s="41"/>
      <c r="E57" s="42" t="s">
        <v>16</v>
      </c>
      <c r="F57" s="42"/>
      <c r="G57" s="42"/>
      <c r="H57" s="42"/>
      <c r="I57" s="42"/>
    </row>
    <row r="58" spans="1:9" x14ac:dyDescent="0.55000000000000004">
      <c r="A58" s="18" t="s">
        <v>22</v>
      </c>
      <c r="B58" s="4" t="s">
        <v>26</v>
      </c>
      <c r="C58" s="4" t="s">
        <v>27</v>
      </c>
      <c r="D58" s="4"/>
      <c r="E58" s="4" t="s">
        <v>1</v>
      </c>
      <c r="F58" s="4" t="s">
        <v>17</v>
      </c>
      <c r="G58" s="4" t="s">
        <v>31</v>
      </c>
      <c r="H58" s="4" t="s">
        <v>35</v>
      </c>
      <c r="I58" s="5" t="s">
        <v>2</v>
      </c>
    </row>
    <row r="59" spans="1:9" x14ac:dyDescent="0.55000000000000004">
      <c r="A59" s="6" t="s">
        <v>3</v>
      </c>
      <c r="B59" s="14">
        <v>116276</v>
      </c>
      <c r="E59">
        <v>69</v>
      </c>
      <c r="F59" s="8">
        <f>E59*B59</f>
        <v>8023044</v>
      </c>
      <c r="G59">
        <v>248211</v>
      </c>
      <c r="H59" s="19">
        <f t="shared" ref="H59:H61" si="6">G59/(E59*8760)</f>
        <v>0.41064621798689699</v>
      </c>
      <c r="I59" s="9" t="s">
        <v>9</v>
      </c>
    </row>
    <row r="60" spans="1:9" x14ac:dyDescent="0.55000000000000004">
      <c r="A60" s="6" t="s">
        <v>4</v>
      </c>
      <c r="B60" s="14">
        <v>75772</v>
      </c>
      <c r="E60">
        <v>306</v>
      </c>
      <c r="F60" s="8">
        <f>E60*B60</f>
        <v>23186232</v>
      </c>
      <c r="G60">
        <v>165430</v>
      </c>
      <c r="H60" s="19">
        <f t="shared" si="6"/>
        <v>6.1714716327931476E-2</v>
      </c>
      <c r="I60" s="9" t="s">
        <v>9</v>
      </c>
    </row>
    <row r="61" spans="1:9" x14ac:dyDescent="0.55000000000000004">
      <c r="A61" s="6" t="s">
        <v>134</v>
      </c>
      <c r="B61" s="7">
        <v>226540</v>
      </c>
      <c r="E61">
        <v>18</v>
      </c>
      <c r="F61" s="8">
        <f>E61*B61</f>
        <v>4077720</v>
      </c>
      <c r="G61">
        <v>28770</v>
      </c>
      <c r="H61" s="19">
        <f t="shared" si="6"/>
        <v>0.18245814307458144</v>
      </c>
      <c r="I61" s="9" t="s">
        <v>9</v>
      </c>
    </row>
    <row r="62" spans="1:9" x14ac:dyDescent="0.55000000000000004">
      <c r="A62" s="6" t="s">
        <v>30</v>
      </c>
      <c r="B62" s="7">
        <v>154460</v>
      </c>
      <c r="C62">
        <v>170</v>
      </c>
      <c r="E62">
        <v>3</v>
      </c>
      <c r="F62" s="8">
        <f>E62*B62+G62*C62</f>
        <v>765300</v>
      </c>
      <c r="G62">
        <v>1776</v>
      </c>
      <c r="H62" s="19">
        <f>G62/(E62*8760)</f>
        <v>6.7579908675799091E-2</v>
      </c>
      <c r="I62" s="9" t="s">
        <v>8</v>
      </c>
    </row>
    <row r="63" spans="1:9" ht="14.7" thickBot="1" x14ac:dyDescent="0.6">
      <c r="A63" s="6"/>
      <c r="B63" s="7"/>
      <c r="I63" s="9"/>
    </row>
    <row r="64" spans="1:9" x14ac:dyDescent="0.55000000000000004">
      <c r="A64" s="10" t="s">
        <v>6</v>
      </c>
      <c r="B64" t="s">
        <v>52</v>
      </c>
      <c r="C64" t="s">
        <v>10</v>
      </c>
      <c r="E64" t="s">
        <v>1</v>
      </c>
      <c r="G64" t="s">
        <v>21</v>
      </c>
      <c r="I64" s="5" t="s">
        <v>2</v>
      </c>
    </row>
    <row r="65" spans="1:25" x14ac:dyDescent="0.55000000000000004">
      <c r="A65" s="6" t="s">
        <v>7</v>
      </c>
      <c r="B65" s="1">
        <v>15700</v>
      </c>
      <c r="C65">
        <v>0</v>
      </c>
      <c r="E65">
        <v>420</v>
      </c>
      <c r="F65" s="8">
        <f>E65*B65</f>
        <v>6594000</v>
      </c>
      <c r="G65">
        <f>E65/70</f>
        <v>6</v>
      </c>
      <c r="I65" s="9" t="s">
        <v>8</v>
      </c>
    </row>
    <row r="66" spans="1:25" x14ac:dyDescent="0.55000000000000004">
      <c r="A66" s="6" t="s">
        <v>135</v>
      </c>
      <c r="B66" s="1">
        <v>4290</v>
      </c>
      <c r="C66">
        <v>1</v>
      </c>
      <c r="E66">
        <v>1440</v>
      </c>
      <c r="F66" s="8">
        <f>E66*B66</f>
        <v>6177600</v>
      </c>
      <c r="G66">
        <f>E66/70</f>
        <v>20.571428571428573</v>
      </c>
      <c r="I66" s="9" t="s">
        <v>8</v>
      </c>
    </row>
    <row r="67" spans="1:25" ht="14.7" thickBot="1" x14ac:dyDescent="0.6">
      <c r="A67" s="6"/>
      <c r="B67" s="1"/>
      <c r="F67" s="8"/>
      <c r="G67" s="24"/>
      <c r="I67" s="9"/>
    </row>
    <row r="68" spans="1:25" x14ac:dyDescent="0.55000000000000004">
      <c r="A68" s="10" t="s">
        <v>50</v>
      </c>
      <c r="B68" s="4" t="s">
        <v>26</v>
      </c>
      <c r="E68" t="s">
        <v>36</v>
      </c>
      <c r="F68" s="8"/>
      <c r="I68" s="5" t="s">
        <v>2</v>
      </c>
    </row>
    <row r="69" spans="1:25" x14ac:dyDescent="0.55000000000000004">
      <c r="A69" s="6" t="s">
        <v>133</v>
      </c>
      <c r="B69" s="1">
        <v>65216</v>
      </c>
      <c r="E69">
        <v>60</v>
      </c>
      <c r="F69" s="8">
        <f t="shared" ref="F69" si="7">E69*B69</f>
        <v>3912960</v>
      </c>
      <c r="I69" s="9" t="s">
        <v>9</v>
      </c>
    </row>
    <row r="70" spans="1:25" ht="14.7" thickBot="1" x14ac:dyDescent="0.6">
      <c r="A70" s="11"/>
      <c r="B70" s="12"/>
      <c r="C70" s="12"/>
      <c r="D70" s="12"/>
      <c r="E70" s="15" t="s">
        <v>139</v>
      </c>
      <c r="F70" s="16">
        <f>SUM(F65:F66,F59:F62,F69)</f>
        <v>52736856</v>
      </c>
      <c r="G70" s="15"/>
      <c r="H70" s="15" t="s">
        <v>19</v>
      </c>
      <c r="I70" s="17">
        <f>F70/$L$1</f>
        <v>120.6552644076157</v>
      </c>
    </row>
    <row r="71" spans="1:25" x14ac:dyDescent="0.55000000000000004">
      <c r="G71" s="19">
        <f>1-G62/$L$1</f>
        <v>0.99593673635781543</v>
      </c>
      <c r="H71" t="s">
        <v>46</v>
      </c>
      <c r="I71" s="21">
        <f>(E60*'Available Land_Plant Land Use'!$D$13+E61*'Available Land_Plant Land Use'!$D$14)/1000000</f>
        <v>5.6745070919999998</v>
      </c>
    </row>
    <row r="72" spans="1:25" x14ac:dyDescent="0.55000000000000004">
      <c r="G72" t="s">
        <v>65</v>
      </c>
    </row>
    <row r="74" spans="1:25" ht="14.7" thickBot="1" x14ac:dyDescent="0.6"/>
    <row r="75" spans="1:25" ht="14.7" thickBot="1" x14ac:dyDescent="0.6">
      <c r="A75" s="3" t="s">
        <v>102</v>
      </c>
      <c r="B75" s="41" t="s">
        <v>15</v>
      </c>
      <c r="C75" s="41"/>
      <c r="E75" s="42" t="s">
        <v>16</v>
      </c>
      <c r="F75" s="42"/>
      <c r="G75" s="42"/>
      <c r="H75" s="42"/>
      <c r="I75" s="42"/>
    </row>
    <row r="76" spans="1:25" x14ac:dyDescent="0.55000000000000004">
      <c r="A76" s="18" t="s">
        <v>22</v>
      </c>
      <c r="B76" s="4" t="s">
        <v>26</v>
      </c>
      <c r="C76" s="4" t="s">
        <v>27</v>
      </c>
      <c r="D76" s="4"/>
      <c r="E76" s="4" t="s">
        <v>1</v>
      </c>
      <c r="F76" s="4" t="s">
        <v>17</v>
      </c>
      <c r="G76" s="4" t="s">
        <v>31</v>
      </c>
      <c r="H76" s="4" t="s">
        <v>35</v>
      </c>
      <c r="I76" s="5" t="s">
        <v>2</v>
      </c>
    </row>
    <row r="77" spans="1:25" x14ac:dyDescent="0.55000000000000004">
      <c r="A77" s="6" t="s">
        <v>3</v>
      </c>
      <c r="B77" s="14">
        <v>116276</v>
      </c>
      <c r="E77">
        <v>34</v>
      </c>
      <c r="F77" s="8">
        <f>E77*B77</f>
        <v>3953384</v>
      </c>
      <c r="G77">
        <v>127637</v>
      </c>
      <c r="H77" s="19">
        <f t="shared" ref="H77:H79" si="8">G77/(E77*8760)</f>
        <v>0.42854217029277464</v>
      </c>
      <c r="I77" s="9" t="s">
        <v>9</v>
      </c>
      <c r="U77" s="44" t="s">
        <v>106</v>
      </c>
      <c r="V77" s="45"/>
      <c r="W77" s="45"/>
      <c r="X77" s="46"/>
      <c r="Y77" s="34"/>
    </row>
    <row r="78" spans="1:25" x14ac:dyDescent="0.55000000000000004">
      <c r="A78" s="6" t="s">
        <v>4</v>
      </c>
      <c r="B78" s="14">
        <v>75772</v>
      </c>
      <c r="E78">
        <v>273</v>
      </c>
      <c r="F78" s="8">
        <f>E78*B78</f>
        <v>20685756</v>
      </c>
      <c r="G78">
        <v>258656</v>
      </c>
      <c r="H78" s="19">
        <f t="shared" si="8"/>
        <v>0.10815729171893555</v>
      </c>
      <c r="I78" s="9" t="s">
        <v>9</v>
      </c>
      <c r="U78" s="27" t="s">
        <v>69</v>
      </c>
      <c r="V78" s="27" t="s">
        <v>33</v>
      </c>
      <c r="W78" s="27" t="s">
        <v>107</v>
      </c>
      <c r="X78" s="27" t="s">
        <v>108</v>
      </c>
      <c r="Y78" s="27"/>
    </row>
    <row r="79" spans="1:25" x14ac:dyDescent="0.55000000000000004">
      <c r="A79" s="6" t="s">
        <v>134</v>
      </c>
      <c r="B79" s="7">
        <v>226540</v>
      </c>
      <c r="E79">
        <v>7</v>
      </c>
      <c r="F79" s="8">
        <f>E79*B79</f>
        <v>1585780</v>
      </c>
      <c r="G79">
        <v>9843</v>
      </c>
      <c r="H79" s="19">
        <f t="shared" si="8"/>
        <v>0.16051859099804305</v>
      </c>
      <c r="I79" s="9" t="s">
        <v>9</v>
      </c>
      <c r="U79" s="28" t="s">
        <v>73</v>
      </c>
      <c r="V79" s="35">
        <f>I91</f>
        <v>126.42075639528764</v>
      </c>
      <c r="W79" s="35">
        <f>I109</f>
        <v>131.10688906903616</v>
      </c>
      <c r="X79" s="35">
        <f>I123</f>
        <v>146.81636773194879</v>
      </c>
      <c r="Y79" s="29"/>
    </row>
    <row r="80" spans="1:25" x14ac:dyDescent="0.55000000000000004">
      <c r="A80" s="6" t="s">
        <v>30</v>
      </c>
      <c r="B80" s="7">
        <v>154460</v>
      </c>
      <c r="C80">
        <v>170</v>
      </c>
      <c r="E80">
        <v>7</v>
      </c>
      <c r="F80" s="8">
        <f>E80*B80+G80*C80</f>
        <v>11505620</v>
      </c>
      <c r="G80">
        <v>61320</v>
      </c>
      <c r="H80" s="19">
        <f>G80/(E80*8760)</f>
        <v>1</v>
      </c>
      <c r="I80" s="9" t="s">
        <v>8</v>
      </c>
      <c r="U80" s="28" t="s">
        <v>74</v>
      </c>
      <c r="V80" s="36">
        <f>I92</f>
        <v>4.8242618060000009</v>
      </c>
      <c r="W80" s="36">
        <f>I110</f>
        <v>5.0253907480000004</v>
      </c>
      <c r="X80" s="37">
        <f>I124</f>
        <v>6.4417917480000009</v>
      </c>
      <c r="Y80" s="31"/>
    </row>
    <row r="81" spans="1:25" ht="14.7" thickBot="1" x14ac:dyDescent="0.6">
      <c r="A81" s="6"/>
      <c r="B81" s="7"/>
      <c r="I81" s="9"/>
      <c r="U81" s="28" t="s">
        <v>75</v>
      </c>
      <c r="V81" s="33">
        <f>E78</f>
        <v>273</v>
      </c>
      <c r="W81" s="33">
        <f>E99</f>
        <v>274</v>
      </c>
      <c r="X81" s="33">
        <f>E118</f>
        <v>379</v>
      </c>
      <c r="Y81" s="32"/>
    </row>
    <row r="82" spans="1:25" x14ac:dyDescent="0.55000000000000004">
      <c r="A82" s="10" t="s">
        <v>6</v>
      </c>
      <c r="B82" t="s">
        <v>52</v>
      </c>
      <c r="C82" t="s">
        <v>10</v>
      </c>
      <c r="E82" t="s">
        <v>1</v>
      </c>
      <c r="G82" t="s">
        <v>21</v>
      </c>
      <c r="I82" s="5" t="s">
        <v>2</v>
      </c>
      <c r="U82" s="28" t="s">
        <v>76</v>
      </c>
      <c r="V82" s="33">
        <f>E77</f>
        <v>34</v>
      </c>
      <c r="W82" s="33">
        <f>E98</f>
        <v>38</v>
      </c>
      <c r="X82" s="33">
        <f>E117</f>
        <v>28</v>
      </c>
      <c r="Y82" s="32"/>
    </row>
    <row r="83" spans="1:25" x14ac:dyDescent="0.55000000000000004">
      <c r="A83" s="6" t="s">
        <v>7</v>
      </c>
      <c r="B83" s="1">
        <v>15700</v>
      </c>
      <c r="C83">
        <v>78</v>
      </c>
      <c r="E83">
        <v>473</v>
      </c>
      <c r="F83" s="8">
        <f>E83*B83</f>
        <v>7426100</v>
      </c>
      <c r="G83" s="25">
        <f>E83/70</f>
        <v>6.7571428571428571</v>
      </c>
      <c r="I83" s="9" t="s">
        <v>8</v>
      </c>
      <c r="U83" s="28" t="s">
        <v>137</v>
      </c>
      <c r="V83" s="33">
        <f>E79</f>
        <v>7</v>
      </c>
      <c r="W83" s="33">
        <f>E100</f>
        <v>14</v>
      </c>
      <c r="X83" s="33" t="s">
        <v>99</v>
      </c>
      <c r="Y83" s="32"/>
    </row>
    <row r="84" spans="1:25" x14ac:dyDescent="0.55000000000000004">
      <c r="A84" s="6" t="s">
        <v>135</v>
      </c>
      <c r="B84" s="1">
        <v>4290</v>
      </c>
      <c r="C84">
        <v>237</v>
      </c>
      <c r="E84">
        <v>846</v>
      </c>
      <c r="F84" s="8">
        <f>E84*B84</f>
        <v>3629340</v>
      </c>
      <c r="G84" s="25">
        <f>E84/E88</f>
        <v>23.830985915492956</v>
      </c>
      <c r="I84" s="9" t="s">
        <v>8</v>
      </c>
      <c r="U84" s="28" t="s">
        <v>138</v>
      </c>
      <c r="V84" s="33">
        <f>E88</f>
        <v>35.5</v>
      </c>
      <c r="W84" s="33">
        <f>E108</f>
        <v>60</v>
      </c>
      <c r="X84" s="33" t="s">
        <v>99</v>
      </c>
      <c r="Y84" s="32"/>
    </row>
    <row r="85" spans="1:25" x14ac:dyDescent="0.55000000000000004">
      <c r="A85" s="6" t="s">
        <v>48</v>
      </c>
      <c r="B85" s="1">
        <v>2860</v>
      </c>
      <c r="C85">
        <v>6</v>
      </c>
      <c r="E85">
        <v>1123</v>
      </c>
      <c r="F85" s="8">
        <f t="shared" ref="F85" si="9">E85*B85</f>
        <v>3211780</v>
      </c>
      <c r="G85" s="25">
        <f>IF(E90&gt;0,E85/E90,0)</f>
        <v>140.375</v>
      </c>
      <c r="I85" s="9" t="s">
        <v>8</v>
      </c>
      <c r="U85" s="28" t="s">
        <v>80</v>
      </c>
      <c r="V85" s="33" t="s">
        <v>109</v>
      </c>
      <c r="W85" s="33" t="s">
        <v>112</v>
      </c>
      <c r="X85" s="33" t="s">
        <v>114</v>
      </c>
      <c r="Y85" s="33"/>
    </row>
    <row r="86" spans="1:25" ht="14.7" thickBot="1" x14ac:dyDescent="0.6">
      <c r="A86" s="6"/>
      <c r="B86" s="1"/>
      <c r="F86" s="8"/>
      <c r="I86" s="9"/>
      <c r="U86" s="28" t="s">
        <v>81</v>
      </c>
      <c r="V86" s="33" t="s">
        <v>110</v>
      </c>
      <c r="W86" s="33" t="s">
        <v>113</v>
      </c>
      <c r="X86" s="33" t="s">
        <v>99</v>
      </c>
      <c r="Y86" s="33"/>
    </row>
    <row r="87" spans="1:25" x14ac:dyDescent="0.55000000000000004">
      <c r="A87" s="10" t="s">
        <v>50</v>
      </c>
      <c r="B87" s="4" t="s">
        <v>26</v>
      </c>
      <c r="E87" t="s">
        <v>36</v>
      </c>
      <c r="F87" s="8"/>
      <c r="I87" s="5" t="s">
        <v>2</v>
      </c>
      <c r="U87" s="28" t="s">
        <v>94</v>
      </c>
      <c r="V87" s="33" t="s">
        <v>111</v>
      </c>
      <c r="W87" s="33" t="s">
        <v>99</v>
      </c>
      <c r="X87" s="33" t="s">
        <v>99</v>
      </c>
      <c r="Y87" s="32"/>
    </row>
    <row r="88" spans="1:25" x14ac:dyDescent="0.55000000000000004">
      <c r="A88" s="6" t="s">
        <v>133</v>
      </c>
      <c r="B88" s="1">
        <v>65216</v>
      </c>
      <c r="E88">
        <v>35.5</v>
      </c>
      <c r="F88" s="8">
        <f t="shared" ref="F88" si="10">E88*B88</f>
        <v>2315168</v>
      </c>
      <c r="I88" s="9" t="s">
        <v>9</v>
      </c>
      <c r="U88" s="28" t="s">
        <v>95</v>
      </c>
      <c r="V88" s="33">
        <v>8</v>
      </c>
      <c r="W88" s="33" t="s">
        <v>99</v>
      </c>
      <c r="X88" s="33" t="s">
        <v>99</v>
      </c>
      <c r="Y88" s="33"/>
    </row>
    <row r="89" spans="1:25" x14ac:dyDescent="0.55000000000000004">
      <c r="A89" s="6" t="s">
        <v>51</v>
      </c>
      <c r="B89" s="1">
        <v>85810</v>
      </c>
      <c r="E89">
        <v>7</v>
      </c>
      <c r="F89" s="8">
        <f t="shared" ref="F89:F90" si="11">E89*B89</f>
        <v>600670</v>
      </c>
      <c r="I89" s="9" t="s">
        <v>9</v>
      </c>
    </row>
    <row r="90" spans="1:25" x14ac:dyDescent="0.55000000000000004">
      <c r="A90" s="6" t="s">
        <v>49</v>
      </c>
      <c r="B90" s="1">
        <v>42910</v>
      </c>
      <c r="E90">
        <v>8</v>
      </c>
      <c r="F90" s="8">
        <f t="shared" si="11"/>
        <v>343280</v>
      </c>
      <c r="I90" s="9" t="s">
        <v>9</v>
      </c>
      <c r="U90" s="28" t="s">
        <v>96</v>
      </c>
      <c r="V90" s="33">
        <v>14</v>
      </c>
      <c r="W90" s="33" t="s">
        <v>99</v>
      </c>
      <c r="X90" s="33" t="s">
        <v>99</v>
      </c>
      <c r="Y90" s="32"/>
    </row>
    <row r="91" spans="1:25" ht="14.7" thickBot="1" x14ac:dyDescent="0.6">
      <c r="A91" s="11"/>
      <c r="B91" s="12"/>
      <c r="C91" s="12"/>
      <c r="D91" s="12"/>
      <c r="E91" s="15" t="s">
        <v>139</v>
      </c>
      <c r="F91" s="16">
        <f>SUM(F77:F90)</f>
        <v>55256878</v>
      </c>
      <c r="G91" s="15"/>
      <c r="H91" s="15" t="s">
        <v>19</v>
      </c>
      <c r="I91" s="17">
        <f>F91/$L$1</f>
        <v>126.42075639528764</v>
      </c>
    </row>
    <row r="92" spans="1:25" x14ac:dyDescent="0.55000000000000004">
      <c r="G92" s="19">
        <f>1-G80/$L$1</f>
        <v>0.85970758640835554</v>
      </c>
      <c r="H92" t="s">
        <v>46</v>
      </c>
      <c r="I92" s="21">
        <f>(E78*'Available Land_Plant Land Use'!$D$13+E79*'Available Land_Plant Land Use'!$D$14)/1000000</f>
        <v>4.8242618060000009</v>
      </c>
    </row>
    <row r="93" spans="1:25" x14ac:dyDescent="0.55000000000000004">
      <c r="G93" t="s">
        <v>65</v>
      </c>
    </row>
    <row r="95" spans="1:25" ht="14.7" thickBot="1" x14ac:dyDescent="0.6"/>
    <row r="96" spans="1:25" ht="14.7" thickBot="1" x14ac:dyDescent="0.6">
      <c r="A96" s="3" t="s">
        <v>103</v>
      </c>
      <c r="B96" s="41" t="s">
        <v>15</v>
      </c>
      <c r="C96" s="41"/>
      <c r="E96" s="42" t="s">
        <v>16</v>
      </c>
      <c r="F96" s="42"/>
      <c r="G96" s="42"/>
      <c r="H96" s="42"/>
      <c r="I96" s="42"/>
    </row>
    <row r="97" spans="1:25" x14ac:dyDescent="0.55000000000000004">
      <c r="A97" s="18" t="s">
        <v>22</v>
      </c>
      <c r="B97" s="4" t="s">
        <v>26</v>
      </c>
      <c r="C97" s="4" t="s">
        <v>27</v>
      </c>
      <c r="D97" s="4"/>
      <c r="E97" s="4" t="s">
        <v>1</v>
      </c>
      <c r="F97" s="4" t="s">
        <v>17</v>
      </c>
      <c r="G97" s="4" t="s">
        <v>31</v>
      </c>
      <c r="H97" s="4" t="s">
        <v>35</v>
      </c>
      <c r="I97" s="5" t="s">
        <v>2</v>
      </c>
    </row>
    <row r="98" spans="1:25" x14ac:dyDescent="0.55000000000000004">
      <c r="A98" s="6" t="s">
        <v>3</v>
      </c>
      <c r="B98" s="14">
        <v>116276</v>
      </c>
      <c r="E98">
        <v>38</v>
      </c>
      <c r="F98" s="8">
        <f>E98*B98</f>
        <v>4418488</v>
      </c>
      <c r="G98">
        <v>248211</v>
      </c>
      <c r="H98" s="19">
        <f t="shared" ref="H98:H100" si="12">G98/(E98*8760)</f>
        <v>0.74564708002883917</v>
      </c>
      <c r="I98" s="9" t="s">
        <v>9</v>
      </c>
    </row>
    <row r="99" spans="1:25" x14ac:dyDescent="0.55000000000000004">
      <c r="A99" s="6" t="s">
        <v>4</v>
      </c>
      <c r="B99" s="14">
        <v>75772</v>
      </c>
      <c r="E99">
        <v>274</v>
      </c>
      <c r="F99" s="8">
        <f>E99*B99</f>
        <v>20761528</v>
      </c>
      <c r="G99">
        <v>165430</v>
      </c>
      <c r="H99" s="19">
        <f t="shared" si="12"/>
        <v>6.8922274439222747E-2</v>
      </c>
      <c r="I99" s="9" t="s">
        <v>9</v>
      </c>
    </row>
    <row r="100" spans="1:25" x14ac:dyDescent="0.55000000000000004">
      <c r="A100" s="6" t="s">
        <v>134</v>
      </c>
      <c r="B100" s="7">
        <v>226540</v>
      </c>
      <c r="E100">
        <v>14</v>
      </c>
      <c r="F100" s="8">
        <f>E100*B100</f>
        <v>3171560</v>
      </c>
      <c r="G100">
        <v>28770</v>
      </c>
      <c r="H100" s="19">
        <f t="shared" si="12"/>
        <v>0.2345890410958904</v>
      </c>
      <c r="I100" s="9" t="s">
        <v>9</v>
      </c>
    </row>
    <row r="101" spans="1:25" x14ac:dyDescent="0.55000000000000004">
      <c r="A101" s="6" t="s">
        <v>30</v>
      </c>
      <c r="B101" s="7">
        <v>154460</v>
      </c>
      <c r="C101">
        <v>170</v>
      </c>
      <c r="E101">
        <v>7</v>
      </c>
      <c r="F101" s="8">
        <f>E101*B101+G101*C101</f>
        <v>11505620</v>
      </c>
      <c r="G101">
        <v>61320</v>
      </c>
      <c r="H101" s="19">
        <f>G101/(E101*8760)</f>
        <v>1</v>
      </c>
      <c r="I101" s="9" t="s">
        <v>8</v>
      </c>
    </row>
    <row r="102" spans="1:25" ht="14.7" thickBot="1" x14ac:dyDescent="0.6">
      <c r="A102" s="6"/>
      <c r="B102" s="7"/>
      <c r="I102" s="9"/>
    </row>
    <row r="103" spans="1:25" x14ac:dyDescent="0.55000000000000004">
      <c r="A103" s="10" t="s">
        <v>6</v>
      </c>
      <c r="B103" t="s">
        <v>52</v>
      </c>
      <c r="C103" t="s">
        <v>10</v>
      </c>
      <c r="E103" t="s">
        <v>1</v>
      </c>
      <c r="G103" t="s">
        <v>21</v>
      </c>
      <c r="I103" s="5" t="s">
        <v>2</v>
      </c>
    </row>
    <row r="104" spans="1:25" x14ac:dyDescent="0.55000000000000004">
      <c r="A104" s="6" t="s">
        <v>7</v>
      </c>
      <c r="B104" s="1">
        <v>15700</v>
      </c>
      <c r="C104">
        <v>61</v>
      </c>
      <c r="E104">
        <v>476</v>
      </c>
      <c r="F104" s="8">
        <f>E104*B104</f>
        <v>7473200</v>
      </c>
      <c r="G104" s="25">
        <f>E104/70</f>
        <v>6.8</v>
      </c>
      <c r="I104" s="9" t="s">
        <v>8</v>
      </c>
    </row>
    <row r="105" spans="1:25" x14ac:dyDescent="0.55000000000000004">
      <c r="A105" s="6" t="s">
        <v>135</v>
      </c>
      <c r="B105" s="1">
        <v>4290</v>
      </c>
      <c r="C105">
        <v>0</v>
      </c>
      <c r="E105">
        <v>1413</v>
      </c>
      <c r="F105" s="8">
        <f>E105*B105</f>
        <v>6061770</v>
      </c>
      <c r="G105">
        <f>E105/E108</f>
        <v>23.55</v>
      </c>
      <c r="I105" s="9" t="s">
        <v>8</v>
      </c>
    </row>
    <row r="106" spans="1:25" ht="14.7" thickBot="1" x14ac:dyDescent="0.6">
      <c r="A106" s="6"/>
      <c r="B106" s="1"/>
      <c r="F106" s="8"/>
      <c r="I106" s="9"/>
    </row>
    <row r="107" spans="1:25" x14ac:dyDescent="0.55000000000000004">
      <c r="A107" s="10" t="s">
        <v>50</v>
      </c>
      <c r="B107" s="4" t="s">
        <v>26</v>
      </c>
      <c r="E107" t="s">
        <v>36</v>
      </c>
      <c r="F107" s="8"/>
      <c r="I107" s="5" t="s">
        <v>2</v>
      </c>
      <c r="U107" s="28" t="s">
        <v>94</v>
      </c>
      <c r="V107" s="33" t="s">
        <v>111</v>
      </c>
      <c r="W107" s="33" t="s">
        <v>99</v>
      </c>
      <c r="X107" s="33" t="s">
        <v>99</v>
      </c>
      <c r="Y107" s="32"/>
    </row>
    <row r="108" spans="1:25" x14ac:dyDescent="0.55000000000000004">
      <c r="A108" s="6" t="s">
        <v>133</v>
      </c>
      <c r="B108" s="1">
        <v>65216</v>
      </c>
      <c r="E108">
        <v>60</v>
      </c>
      <c r="F108" s="8">
        <f t="shared" ref="F108" si="13">E108*B108</f>
        <v>3912960</v>
      </c>
      <c r="I108" s="9" t="s">
        <v>9</v>
      </c>
      <c r="U108" s="28" t="s">
        <v>95</v>
      </c>
      <c r="V108" s="33">
        <v>8</v>
      </c>
      <c r="W108" s="33" t="s">
        <v>99</v>
      </c>
      <c r="X108" s="33" t="s">
        <v>99</v>
      </c>
      <c r="Y108" s="33"/>
    </row>
    <row r="109" spans="1:25" ht="14.7" thickBot="1" x14ac:dyDescent="0.6">
      <c r="A109" s="11"/>
      <c r="B109" s="12"/>
      <c r="C109" s="12"/>
      <c r="D109" s="12"/>
      <c r="E109" s="15" t="s">
        <v>139</v>
      </c>
      <c r="F109" s="16">
        <f>SUM(F98:F108)</f>
        <v>57305126</v>
      </c>
      <c r="G109" s="15"/>
      <c r="H109" s="15" t="s">
        <v>19</v>
      </c>
      <c r="I109" s="17">
        <f>F109/$L$1</f>
        <v>131.10688906903616</v>
      </c>
    </row>
    <row r="110" spans="1:25" x14ac:dyDescent="0.55000000000000004">
      <c r="G110" s="19">
        <f>1-G101/$L$1</f>
        <v>0.85970758640835554</v>
      </c>
      <c r="H110" t="s">
        <v>46</v>
      </c>
      <c r="I110" s="21">
        <f>(E99*'Available Land_Plant Land Use'!$D$13+E100*'Available Land_Plant Land Use'!$D$14)/1000000</f>
        <v>5.0253907480000004</v>
      </c>
    </row>
    <row r="111" spans="1:25" x14ac:dyDescent="0.55000000000000004">
      <c r="G111" t="s">
        <v>65</v>
      </c>
    </row>
    <row r="114" spans="1:15" ht="14.7" thickBot="1" x14ac:dyDescent="0.6"/>
    <row r="115" spans="1:15" ht="14.7" thickBot="1" x14ac:dyDescent="0.6">
      <c r="A115" s="3" t="s">
        <v>104</v>
      </c>
      <c r="B115" s="41" t="s">
        <v>15</v>
      </c>
      <c r="C115" s="41"/>
      <c r="E115" s="42" t="s">
        <v>16</v>
      </c>
      <c r="F115" s="42"/>
      <c r="G115" s="42"/>
      <c r="H115" s="42"/>
      <c r="I115" s="42"/>
    </row>
    <row r="116" spans="1:15" x14ac:dyDescent="0.55000000000000004">
      <c r="A116" s="18" t="s">
        <v>22</v>
      </c>
      <c r="B116" s="4" t="s">
        <v>26</v>
      </c>
      <c r="C116" s="4" t="s">
        <v>27</v>
      </c>
      <c r="D116" s="4"/>
      <c r="E116" s="4" t="s">
        <v>1</v>
      </c>
      <c r="F116" s="4" t="s">
        <v>17</v>
      </c>
      <c r="G116" s="4" t="s">
        <v>31</v>
      </c>
      <c r="H116" s="4" t="s">
        <v>35</v>
      </c>
      <c r="I116" s="5" t="s">
        <v>2</v>
      </c>
    </row>
    <row r="117" spans="1:15" x14ac:dyDescent="0.55000000000000004">
      <c r="A117" s="6" t="s">
        <v>3</v>
      </c>
      <c r="B117" s="14">
        <v>116276</v>
      </c>
      <c r="E117">
        <v>28</v>
      </c>
      <c r="F117" s="8">
        <f>E117*B117</f>
        <v>3255728</v>
      </c>
      <c r="G117">
        <v>105062</v>
      </c>
      <c r="H117" s="19">
        <f t="shared" ref="H117:H118" si="14">G117/(E117*8760)</f>
        <v>0.42833496412263533</v>
      </c>
      <c r="I117" s="9" t="s">
        <v>9</v>
      </c>
    </row>
    <row r="118" spans="1:15" x14ac:dyDescent="0.55000000000000004">
      <c r="A118" s="6" t="s">
        <v>4</v>
      </c>
      <c r="B118" s="14">
        <v>75772</v>
      </c>
      <c r="E118">
        <v>379</v>
      </c>
      <c r="F118" s="8">
        <f>E118*B118</f>
        <v>28717588</v>
      </c>
      <c r="G118">
        <v>285542</v>
      </c>
      <c r="H118" s="19">
        <f t="shared" si="14"/>
        <v>8.600559029409284E-2</v>
      </c>
      <c r="I118" s="9" t="s">
        <v>9</v>
      </c>
    </row>
    <row r="119" spans="1:15" x14ac:dyDescent="0.55000000000000004">
      <c r="A119" s="6" t="s">
        <v>30</v>
      </c>
      <c r="B119" s="7">
        <v>154460</v>
      </c>
      <c r="C119">
        <v>170</v>
      </c>
      <c r="E119">
        <v>7</v>
      </c>
      <c r="F119" s="8">
        <f>E119*B119+G119*C119</f>
        <v>11505620</v>
      </c>
      <c r="G119">
        <v>61320</v>
      </c>
      <c r="H119" s="19">
        <f>G119/(E119*8760)</f>
        <v>1</v>
      </c>
      <c r="I119" s="9" t="s">
        <v>8</v>
      </c>
    </row>
    <row r="120" spans="1:15" ht="14.7" thickBot="1" x14ac:dyDescent="0.6">
      <c r="A120" s="6"/>
      <c r="B120" s="7"/>
      <c r="I120" s="9"/>
    </row>
    <row r="121" spans="1:15" x14ac:dyDescent="0.55000000000000004">
      <c r="A121" s="10" t="s">
        <v>6</v>
      </c>
      <c r="B121" t="s">
        <v>52</v>
      </c>
      <c r="C121" t="s">
        <v>10</v>
      </c>
      <c r="E121" t="s">
        <v>1</v>
      </c>
      <c r="G121" t="s">
        <v>21</v>
      </c>
      <c r="I121" s="5" t="s">
        <v>2</v>
      </c>
    </row>
    <row r="122" spans="1:15" x14ac:dyDescent="0.55000000000000004">
      <c r="A122" s="6" t="s">
        <v>7</v>
      </c>
      <c r="B122" s="1">
        <v>15700</v>
      </c>
      <c r="C122">
        <v>907</v>
      </c>
      <c r="E122">
        <v>1318</v>
      </c>
      <c r="F122" s="8">
        <f>E122*B122</f>
        <v>20692600</v>
      </c>
      <c r="G122" s="25">
        <f>E122/70</f>
        <v>18.828571428571429</v>
      </c>
      <c r="I122" s="9" t="s">
        <v>8</v>
      </c>
    </row>
    <row r="123" spans="1:15" ht="14.7" thickBot="1" x14ac:dyDescent="0.6">
      <c r="A123" s="11"/>
      <c r="B123" s="12"/>
      <c r="C123" s="12"/>
      <c r="D123" s="12"/>
      <c r="E123" s="15" t="s">
        <v>139</v>
      </c>
      <c r="F123" s="16">
        <f>SUM(F117:F122)</f>
        <v>64171536</v>
      </c>
      <c r="G123" s="15"/>
      <c r="H123" s="15" t="s">
        <v>19</v>
      </c>
      <c r="I123" s="17">
        <f>F123/$L$1</f>
        <v>146.81636773194879</v>
      </c>
    </row>
    <row r="124" spans="1:15" x14ac:dyDescent="0.55000000000000004">
      <c r="G124" s="19">
        <f>1-G119/$L$1</f>
        <v>0.85970758640835554</v>
      </c>
      <c r="H124" t="s">
        <v>46</v>
      </c>
      <c r="I124" s="21">
        <f>(E118*'Available Land_Plant Land Use'!$D$13)/1000000</f>
        <v>6.4417917480000009</v>
      </c>
    </row>
    <row r="125" spans="1:15" x14ac:dyDescent="0.55000000000000004">
      <c r="G125" t="s">
        <v>65</v>
      </c>
    </row>
    <row r="126" spans="1:15" x14ac:dyDescent="0.55000000000000004">
      <c r="A126" t="s">
        <v>116</v>
      </c>
    </row>
    <row r="127" spans="1:15" ht="14.7" thickBot="1" x14ac:dyDescent="0.6"/>
    <row r="128" spans="1:15" ht="14.7" thickBot="1" x14ac:dyDescent="0.6">
      <c r="A128" s="3" t="s">
        <v>115</v>
      </c>
      <c r="B128" s="41" t="s">
        <v>15</v>
      </c>
      <c r="C128" s="41"/>
      <c r="E128" s="42" t="s">
        <v>16</v>
      </c>
      <c r="F128" s="42"/>
      <c r="G128" s="42"/>
      <c r="H128" s="42"/>
      <c r="I128" s="42"/>
      <c r="L128" s="44" t="s">
        <v>119</v>
      </c>
      <c r="M128" s="45"/>
      <c r="N128" s="45"/>
      <c r="O128" s="46"/>
    </row>
    <row r="129" spans="1:25" x14ac:dyDescent="0.55000000000000004">
      <c r="A129" s="18" t="s">
        <v>22</v>
      </c>
      <c r="B129" s="4" t="s">
        <v>26</v>
      </c>
      <c r="C129" s="4" t="s">
        <v>27</v>
      </c>
      <c r="D129" s="4"/>
      <c r="E129" s="4" t="s">
        <v>36</v>
      </c>
      <c r="F129" s="4" t="s">
        <v>17</v>
      </c>
      <c r="G129" s="4" t="s">
        <v>31</v>
      </c>
      <c r="H129" s="4" t="s">
        <v>35</v>
      </c>
      <c r="I129" s="5" t="s">
        <v>2</v>
      </c>
      <c r="L129" s="27" t="s">
        <v>69</v>
      </c>
      <c r="M129" s="27" t="s">
        <v>33</v>
      </c>
      <c r="N129" s="27" t="s">
        <v>128</v>
      </c>
      <c r="O129" s="27" t="s">
        <v>129</v>
      </c>
    </row>
    <row r="130" spans="1:25" x14ac:dyDescent="0.55000000000000004">
      <c r="A130" s="6" t="s">
        <v>3</v>
      </c>
      <c r="B130" s="14">
        <v>116276</v>
      </c>
      <c r="E130">
        <v>52</v>
      </c>
      <c r="F130" s="8">
        <f>E130*B130</f>
        <v>6046352</v>
      </c>
      <c r="G130">
        <v>194497</v>
      </c>
      <c r="H130" s="19">
        <f t="shared" ref="H130:H132" si="15">G130/(E130*8760)</f>
        <v>0.42697795925535653</v>
      </c>
      <c r="I130" s="9" t="s">
        <v>9</v>
      </c>
      <c r="L130" s="28" t="s">
        <v>73</v>
      </c>
      <c r="M130" s="29">
        <f>I141</f>
        <v>127.16302955381416</v>
      </c>
      <c r="N130" s="29">
        <f>CSP!I56</f>
        <v>158.25755952927193</v>
      </c>
      <c r="O130" s="29">
        <f>CSP!I71</f>
        <v>108.01467085265192</v>
      </c>
    </row>
    <row r="131" spans="1:25" x14ac:dyDescent="0.55000000000000004">
      <c r="A131" s="6" t="s">
        <v>4</v>
      </c>
      <c r="B131" s="14">
        <v>75772</v>
      </c>
      <c r="E131">
        <v>367</v>
      </c>
      <c r="F131" s="8">
        <f>E131*B131</f>
        <v>27808324</v>
      </c>
      <c r="G131">
        <v>236959</v>
      </c>
      <c r="H131" s="19">
        <f t="shared" si="15"/>
        <v>7.3706033120575318E-2</v>
      </c>
      <c r="I131" s="9" t="s">
        <v>9</v>
      </c>
      <c r="L131" s="28" t="s">
        <v>74</v>
      </c>
      <c r="M131" s="30">
        <f>I142</f>
        <v>6.553485084000001</v>
      </c>
      <c r="N131" s="25">
        <f>CSP!I57</f>
        <v>7.2952745220000006</v>
      </c>
      <c r="O131" s="30">
        <f>CSP!I72</f>
        <v>8.230099182</v>
      </c>
    </row>
    <row r="132" spans="1:25" x14ac:dyDescent="0.55000000000000004">
      <c r="A132" s="6" t="s">
        <v>5</v>
      </c>
      <c r="B132" s="7">
        <v>226540</v>
      </c>
      <c r="E132">
        <v>12</v>
      </c>
      <c r="F132" s="8">
        <f>E132*B132</f>
        <v>2718480</v>
      </c>
      <c r="G132">
        <v>17595</v>
      </c>
      <c r="H132" s="19">
        <f t="shared" si="15"/>
        <v>0.16738013698630136</v>
      </c>
      <c r="I132" s="9" t="s">
        <v>9</v>
      </c>
      <c r="L132" s="28" t="s">
        <v>75</v>
      </c>
      <c r="M132" s="32">
        <f>E131</f>
        <v>367</v>
      </c>
      <c r="N132" s="38">
        <f>CSP!E47</f>
        <v>341</v>
      </c>
      <c r="O132" s="32">
        <f>CSP!E62</f>
        <v>461</v>
      </c>
    </row>
    <row r="133" spans="1:25" x14ac:dyDescent="0.55000000000000004">
      <c r="A133" s="6" t="s">
        <v>30</v>
      </c>
      <c r="B133" s="7">
        <v>154460</v>
      </c>
      <c r="C133">
        <v>240</v>
      </c>
      <c r="E133">
        <v>0</v>
      </c>
      <c r="F133" s="8">
        <f>E133*B133+G133*C133</f>
        <v>0</v>
      </c>
      <c r="G133">
        <v>0</v>
      </c>
      <c r="H133" s="19" t="e">
        <f>G133/(E133*8760)</f>
        <v>#DIV/0!</v>
      </c>
      <c r="I133" s="9" t="s">
        <v>9</v>
      </c>
      <c r="L133" s="28" t="s">
        <v>76</v>
      </c>
      <c r="M133" s="32">
        <f>E130</f>
        <v>52</v>
      </c>
      <c r="N133" s="32">
        <f>CSP!E46</f>
        <v>25</v>
      </c>
      <c r="O133" s="32">
        <f>CSP!E61</f>
        <v>25</v>
      </c>
    </row>
    <row r="134" spans="1:25" ht="14.7" thickBot="1" x14ac:dyDescent="0.6">
      <c r="A134" s="6"/>
      <c r="B134" s="7"/>
      <c r="I134" s="9"/>
      <c r="L134" s="28" t="s">
        <v>137</v>
      </c>
      <c r="M134" s="32">
        <f>E132</f>
        <v>12</v>
      </c>
      <c r="N134" s="32">
        <f>CSP!E48</f>
        <v>57</v>
      </c>
      <c r="O134" s="32">
        <f>CSP!E63</f>
        <v>15</v>
      </c>
    </row>
    <row r="135" spans="1:25" x14ac:dyDescent="0.55000000000000004">
      <c r="A135" s="10" t="s">
        <v>6</v>
      </c>
      <c r="B135" t="s">
        <v>53</v>
      </c>
      <c r="C135" t="s">
        <v>10</v>
      </c>
      <c r="E135" t="s">
        <v>1</v>
      </c>
      <c r="G135" t="s">
        <v>21</v>
      </c>
      <c r="I135" s="5" t="s">
        <v>2</v>
      </c>
      <c r="L135" s="28" t="s">
        <v>138</v>
      </c>
      <c r="M135" s="32"/>
      <c r="N135" s="32"/>
      <c r="O135" s="32"/>
    </row>
    <row r="136" spans="1:25" x14ac:dyDescent="0.55000000000000004">
      <c r="A136" s="6" t="s">
        <v>7</v>
      </c>
      <c r="B136" s="1">
        <v>15700</v>
      </c>
      <c r="C136">
        <v>59</v>
      </c>
      <c r="E136">
        <v>568</v>
      </c>
      <c r="F136" s="8">
        <f>E136*B136</f>
        <v>8917600</v>
      </c>
      <c r="G136" s="24">
        <f>E136/70</f>
        <v>8.1142857142857139</v>
      </c>
      <c r="I136" s="9" t="s">
        <v>9</v>
      </c>
      <c r="L136" s="28" t="s">
        <v>88</v>
      </c>
      <c r="M136" s="32">
        <v>0</v>
      </c>
      <c r="N136" s="33" t="s">
        <v>99</v>
      </c>
      <c r="O136" s="33" t="s">
        <v>99</v>
      </c>
    </row>
    <row r="137" spans="1:25" x14ac:dyDescent="0.55000000000000004">
      <c r="A137" s="6" t="s">
        <v>135</v>
      </c>
      <c r="B137" s="1">
        <v>4290</v>
      </c>
      <c r="C137">
        <v>34</v>
      </c>
      <c r="E137">
        <v>1440</v>
      </c>
      <c r="F137" s="8">
        <f>E137*B137</f>
        <v>6177600</v>
      </c>
      <c r="G137" s="24">
        <f>E137/70</f>
        <v>20.571428571428573</v>
      </c>
      <c r="I137" s="9" t="s">
        <v>9</v>
      </c>
      <c r="L137" s="28" t="s">
        <v>80</v>
      </c>
      <c r="M137" s="33" t="s">
        <v>87</v>
      </c>
      <c r="N137" s="33" t="s">
        <v>87</v>
      </c>
      <c r="O137" s="33" t="s">
        <v>130</v>
      </c>
    </row>
    <row r="138" spans="1:25" ht="14.7" thickBot="1" x14ac:dyDescent="0.6">
      <c r="A138" s="6"/>
      <c r="B138" s="1"/>
      <c r="F138" s="8"/>
      <c r="I138" s="9"/>
      <c r="L138" s="28" t="s">
        <v>81</v>
      </c>
      <c r="M138" s="33" t="s">
        <v>84</v>
      </c>
      <c r="N138" s="33" t="s">
        <v>84</v>
      </c>
      <c r="O138" s="33" t="s">
        <v>131</v>
      </c>
    </row>
    <row r="139" spans="1:25" x14ac:dyDescent="0.55000000000000004">
      <c r="A139" s="10" t="s">
        <v>50</v>
      </c>
      <c r="B139" s="4" t="s">
        <v>26</v>
      </c>
      <c r="E139" t="s">
        <v>36</v>
      </c>
      <c r="F139" s="8"/>
      <c r="I139" s="5" t="s">
        <v>2</v>
      </c>
      <c r="U139" s="28" t="s">
        <v>94</v>
      </c>
      <c r="V139" s="33" t="s">
        <v>111</v>
      </c>
      <c r="W139" s="33" t="s">
        <v>99</v>
      </c>
      <c r="X139" s="33" t="s">
        <v>99</v>
      </c>
      <c r="Y139" s="32"/>
    </row>
    <row r="140" spans="1:25" x14ac:dyDescent="0.55000000000000004">
      <c r="A140" s="6" t="s">
        <v>133</v>
      </c>
      <c r="B140" s="1">
        <v>65216</v>
      </c>
      <c r="E140">
        <v>60</v>
      </c>
      <c r="F140" s="8">
        <f t="shared" ref="F140" si="16">E140*B140</f>
        <v>3912960</v>
      </c>
      <c r="I140" s="9" t="s">
        <v>9</v>
      </c>
      <c r="U140" s="28" t="s">
        <v>95</v>
      </c>
      <c r="V140" s="33">
        <v>8</v>
      </c>
      <c r="W140" s="33" t="s">
        <v>99</v>
      </c>
      <c r="X140" s="33" t="s">
        <v>99</v>
      </c>
      <c r="Y140" s="33"/>
    </row>
    <row r="141" spans="1:25" ht="14.7" thickBot="1" x14ac:dyDescent="0.6">
      <c r="A141" s="11"/>
      <c r="B141" s="12"/>
      <c r="C141" s="12"/>
      <c r="D141" s="12"/>
      <c r="E141" s="15" t="s">
        <v>139</v>
      </c>
      <c r="F141" s="16">
        <f>SUM(F136:F137,F130:F133,F140)</f>
        <v>55581316</v>
      </c>
      <c r="G141" s="15"/>
      <c r="H141" s="15" t="s">
        <v>19</v>
      </c>
      <c r="I141" s="17">
        <f>F141/$L$1</f>
        <v>127.16302955381416</v>
      </c>
    </row>
    <row r="142" spans="1:25" x14ac:dyDescent="0.55000000000000004">
      <c r="G142" s="23">
        <f>1-G133/$L$1</f>
        <v>1</v>
      </c>
      <c r="H142" t="s">
        <v>46</v>
      </c>
      <c r="I142" s="21">
        <f>(E131*'Available Land_Plant Land Use'!$D$13+E132*'Available Land_Plant Land Use'!$D$14)/1000000</f>
        <v>6.553485084000001</v>
      </c>
    </row>
    <row r="143" spans="1:25" x14ac:dyDescent="0.55000000000000004">
      <c r="G143" t="s">
        <v>65</v>
      </c>
    </row>
  </sheetData>
  <dataConsolidate/>
  <mergeCells count="19">
    <mergeCell ref="L128:O128"/>
    <mergeCell ref="B96:C96"/>
    <mergeCell ref="E96:I96"/>
    <mergeCell ref="B128:C128"/>
    <mergeCell ref="E128:I128"/>
    <mergeCell ref="B115:C115"/>
    <mergeCell ref="E115:I115"/>
    <mergeCell ref="U77:X77"/>
    <mergeCell ref="B75:C75"/>
    <mergeCell ref="E75:I75"/>
    <mergeCell ref="U3:Y3"/>
    <mergeCell ref="B39:C39"/>
    <mergeCell ref="E39:I39"/>
    <mergeCell ref="B57:C57"/>
    <mergeCell ref="E57:I57"/>
    <mergeCell ref="B3:C3"/>
    <mergeCell ref="E3:I3"/>
    <mergeCell ref="B21:C21"/>
    <mergeCell ref="E21:I2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C9DB-2531-4440-8E80-EEA346358561}">
  <dimension ref="B2:G18"/>
  <sheetViews>
    <sheetView topLeftCell="A4" workbookViewId="0">
      <selection activeCell="F14" sqref="F14"/>
    </sheetView>
  </sheetViews>
  <sheetFormatPr defaultRowHeight="14.4" x14ac:dyDescent="0.55000000000000004"/>
  <cols>
    <col min="2" max="2" width="30.20703125" bestFit="1" customWidth="1"/>
    <col min="3" max="3" width="24.62890625" customWidth="1"/>
    <col min="4" max="4" width="17.20703125" bestFit="1" customWidth="1"/>
    <col min="6" max="6" width="9.68359375" bestFit="1" customWidth="1"/>
  </cols>
  <sheetData>
    <row r="2" spans="2:7" x14ac:dyDescent="0.55000000000000004">
      <c r="B2" t="s">
        <v>66</v>
      </c>
    </row>
    <row r="4" spans="2:7" x14ac:dyDescent="0.55000000000000004">
      <c r="B4" t="s">
        <v>37</v>
      </c>
      <c r="C4" t="s">
        <v>47</v>
      </c>
      <c r="D4" t="s">
        <v>40</v>
      </c>
    </row>
    <row r="5" spans="2:7" x14ac:dyDescent="0.55000000000000004">
      <c r="B5" t="s">
        <v>38</v>
      </c>
      <c r="C5" s="22">
        <f>D5/4046.86</f>
        <v>135.68368809397904</v>
      </c>
      <c r="D5" s="20">
        <v>549092.89</v>
      </c>
    </row>
    <row r="6" spans="2:7" x14ac:dyDescent="0.55000000000000004">
      <c r="B6" t="s">
        <v>39</v>
      </c>
      <c r="C6" s="22">
        <f>D6/4046.86</f>
        <v>441.57692630829825</v>
      </c>
      <c r="D6" s="20">
        <v>1787000</v>
      </c>
    </row>
    <row r="10" spans="2:7" x14ac:dyDescent="0.55000000000000004">
      <c r="B10" t="s">
        <v>41</v>
      </c>
    </row>
    <row r="12" spans="2:7" x14ac:dyDescent="0.55000000000000004">
      <c r="B12" t="s">
        <v>42</v>
      </c>
      <c r="C12" t="s">
        <v>43</v>
      </c>
      <c r="D12" t="s">
        <v>45</v>
      </c>
      <c r="F12" t="s">
        <v>132</v>
      </c>
    </row>
    <row r="13" spans="2:7" x14ac:dyDescent="0.55000000000000004">
      <c r="B13" t="s">
        <v>25</v>
      </c>
      <c r="C13">
        <v>4.2</v>
      </c>
      <c r="D13">
        <f>C13*4046.86</f>
        <v>16996.812000000002</v>
      </c>
      <c r="F13" s="21">
        <f>120*D13/1000000</f>
        <v>2.0396174400000002</v>
      </c>
      <c r="G13" t="s">
        <v>105</v>
      </c>
    </row>
    <row r="14" spans="2:7" x14ac:dyDescent="0.55000000000000004">
      <c r="B14" t="s">
        <v>5</v>
      </c>
      <c r="C14">
        <v>6.5</v>
      </c>
      <c r="D14">
        <f>C14*4046.86</f>
        <v>26304.59</v>
      </c>
    </row>
    <row r="15" spans="2:7" x14ac:dyDescent="0.55000000000000004">
      <c r="B15" t="s">
        <v>3</v>
      </c>
      <c r="C15" t="s">
        <v>44</v>
      </c>
    </row>
    <row r="18" spans="3:4" x14ac:dyDescent="0.55000000000000004">
      <c r="C18">
        <v>1</v>
      </c>
      <c r="D18">
        <f>C18*4046.86</f>
        <v>4046.86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2AAE-DCB6-4D9A-AA75-3CD021084AB4}">
  <dimension ref="A1"/>
  <sheetViews>
    <sheetView workbookViewId="0">
      <selection activeCell="H19" sqref="H19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Hydrogen</vt:lpstr>
      <vt:lpstr>Anitgua Current System</vt:lpstr>
      <vt:lpstr>Only Wind,PV,Batteries</vt:lpstr>
      <vt:lpstr>CSP</vt:lpstr>
      <vt:lpstr>Small Diesel</vt:lpstr>
      <vt:lpstr>Available Land_Plant Land Use</vt:lpstr>
      <vt:lpstr>Best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2022-11-30T04:24:00Z</dcterms:created>
  <dcterms:modified xsi:type="dcterms:W3CDTF">2023-08-19T19:20:54Z</dcterms:modified>
</cp:coreProperties>
</file>