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esktop\Research\Github_Material\"/>
    </mc:Choice>
  </mc:AlternateContent>
  <xr:revisionPtr revIDLastSave="0" documentId="13_ncr:1_{29094325-BE94-4370-899A-D2CF7BFD62D4}" xr6:coauthVersionLast="47" xr6:coauthVersionMax="47" xr10:uidLastSave="{00000000-0000-0000-0000-000000000000}"/>
  <bookViews>
    <workbookView xWindow="-28920" yWindow="-120" windowWidth="29040" windowHeight="15720" xr2:uid="{68642DC3-0BD7-4750-815F-83526B644E30}"/>
  </bookViews>
  <sheets>
    <sheet name="Capital Cost General Calcs" sheetId="1" r:id="rId1"/>
    <sheet name="Detailed Cost 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B13" i="1"/>
  <c r="B17" i="1" s="1"/>
  <c r="K5" i="2"/>
  <c r="H5" i="2"/>
  <c r="E5" i="2"/>
  <c r="B5" i="2"/>
  <c r="D31" i="1"/>
  <c r="J29" i="1"/>
  <c r="H31" i="1"/>
  <c r="J31" i="1" s="1"/>
  <c r="H27" i="1"/>
  <c r="J27" i="1" s="1"/>
  <c r="I13" i="2"/>
  <c r="I12" i="2"/>
  <c r="I11" i="2"/>
  <c r="I10" i="2"/>
  <c r="I9" i="2"/>
  <c r="H17" i="1"/>
  <c r="H15" i="1"/>
  <c r="H10" i="1"/>
  <c r="J10" i="1" s="1"/>
  <c r="H8" i="1"/>
  <c r="J8" i="1" s="1"/>
  <c r="H6" i="1"/>
  <c r="J6" i="1" s="1"/>
  <c r="H4" i="1"/>
  <c r="J4" i="1" s="1"/>
  <c r="B15" i="1" l="1"/>
  <c r="J15" i="1" s="1"/>
  <c r="B19" i="1"/>
  <c r="J19" i="1" s="1"/>
  <c r="N5" i="2"/>
  <c r="P10" i="2" s="1"/>
  <c r="G13" i="2"/>
  <c r="J17" i="1"/>
  <c r="J13" i="2"/>
  <c r="G9" i="2"/>
  <c r="G10" i="2"/>
  <c r="G11" i="2"/>
  <c r="G12" i="2"/>
  <c r="G15" i="2"/>
  <c r="J9" i="2"/>
  <c r="J10" i="2"/>
  <c r="G14" i="2"/>
  <c r="J11" i="2"/>
  <c r="J12" i="2"/>
  <c r="P9" i="2" l="1"/>
  <c r="Q5" i="2"/>
  <c r="S10" i="2" s="1"/>
  <c r="T5" i="2"/>
  <c r="S9" i="2" l="1"/>
  <c r="S11" i="2"/>
  <c r="S12" i="2"/>
</calcChain>
</file>

<file path=xl/sharedStrings.xml><?xml version="1.0" encoding="utf-8"?>
<sst xmlns="http://schemas.openxmlformats.org/spreadsheetml/2006/main" count="93" uniqueCount="64">
  <si>
    <t>Solar PV</t>
  </si>
  <si>
    <t>CSP</t>
  </si>
  <si>
    <t>Wind</t>
  </si>
  <si>
    <t>Hydrogen</t>
  </si>
  <si>
    <t>Source(s)</t>
  </si>
  <si>
    <t>CRF Calculations</t>
  </si>
  <si>
    <t>Capital Cost ($/kW)</t>
  </si>
  <si>
    <t>Diesel</t>
  </si>
  <si>
    <t>Utility Battery</t>
  </si>
  <si>
    <t>CSP Storage</t>
  </si>
  <si>
    <t>CSP Generator</t>
  </si>
  <si>
    <t>Capital Cost ($/kWh)</t>
  </si>
  <si>
    <t>Capital Recovery Factor Equation</t>
  </si>
  <si>
    <t>n (lifetime)</t>
  </si>
  <si>
    <t>i (discount rate)</t>
  </si>
  <si>
    <t>CRF</t>
  </si>
  <si>
    <t>capital cost * CRF</t>
  </si>
  <si>
    <t>Adjudted Capital Cost ($/kW)</t>
  </si>
  <si>
    <t>Inverter</t>
  </si>
  <si>
    <t>Modules</t>
  </si>
  <si>
    <t>Racking/structure</t>
  </si>
  <si>
    <t>Electrical</t>
  </si>
  <si>
    <t>Other</t>
  </si>
  <si>
    <t>Freight</t>
  </si>
  <si>
    <t>Installation</t>
  </si>
  <si>
    <t>Source</t>
  </si>
  <si>
    <t>https://www.iea.org/data-and-statistics/charts/utility-scale-pv-investment-cost-structure-by-component-and-by-commodity-breakdown</t>
  </si>
  <si>
    <t>IEA</t>
  </si>
  <si>
    <t>Breakdown:</t>
  </si>
  <si>
    <t>Rotor Module</t>
  </si>
  <si>
    <t>Nacelle Module</t>
  </si>
  <si>
    <t>Tower Module</t>
  </si>
  <si>
    <t>Balance of System</t>
  </si>
  <si>
    <t>Financial Costs</t>
  </si>
  <si>
    <t>https://www.nrel.gov/docs/fy21osti/78471.pdf</t>
  </si>
  <si>
    <t>NREL</t>
  </si>
  <si>
    <t>Generator</t>
  </si>
  <si>
    <t>Storage</t>
  </si>
  <si>
    <t>Receiver/heat transfer fluid</t>
  </si>
  <si>
    <t>solar field</t>
  </si>
  <si>
    <t>power block</t>
  </si>
  <si>
    <t>Land use/installment</t>
  </si>
  <si>
    <t>Sources</t>
  </si>
  <si>
    <t>https://www.evwind.es/2020/07/29/the-cost-of-concentrated-solar-power-fell-by-47-between-2010-and-2019/76120</t>
  </si>
  <si>
    <t>https://www.researchgate.net/figure/Capital-cost-breakdown-for-a-tower-concentrated-solar-power-plant-with-thermal-storage_fig6_342836191</t>
  </si>
  <si>
    <t>evwind</t>
  </si>
  <si>
    <t>researchgate</t>
  </si>
  <si>
    <t>Part of Project</t>
  </si>
  <si>
    <t>Percent of Total</t>
  </si>
  <si>
    <t>Cost per kW</t>
  </si>
  <si>
    <t>^ = 4000 *0.15 / 12</t>
  </si>
  <si>
    <t>^ = (CSP capital cost) * (15% of capital cost) / (12hrs of storage)</t>
  </si>
  <si>
    <t>Annualized Capital Cost ($/kW)</t>
  </si>
  <si>
    <t>Annualized Capital Cost ($/kWh)</t>
  </si>
  <si>
    <t>^ This will have minmum of 20 hours ^</t>
  </si>
  <si>
    <t>Capital Cost ($/kg)</t>
  </si>
  <si>
    <t>hydrogen kWh/kg</t>
  </si>
  <si>
    <t>Electrolyser (Link In)</t>
  </si>
  <si>
    <t>Fuel Cell (Link out)</t>
  </si>
  <si>
    <t>Hydrogen Storage (store)</t>
  </si>
  <si>
    <t>Factor:</t>
  </si>
  <si>
    <t>CSP Field - 'Generator'</t>
  </si>
  <si>
    <t>CSP Storage - 'Store'</t>
  </si>
  <si>
    <t>CSP Turbine - 'Link'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</si>
</sst>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9" fontId="0" fillId="0" borderId="0" xfId="1" applyFont="1" applyBorder="1"/>
    <xf numFmtId="2" fontId="0" fillId="0" borderId="2" xfId="0" applyNumberFormat="1" applyBorder="1"/>
    <xf numFmtId="2" fontId="0" fillId="0" borderId="2" xfId="1" applyNumberFormat="1" applyFont="1" applyBorder="1"/>
    <xf numFmtId="0" fontId="0" fillId="4" borderId="3" xfId="0" applyFill="1" applyBorder="1"/>
    <xf numFmtId="0" fontId="0" fillId="4" borderId="4" xfId="0" applyFill="1" applyBorder="1"/>
    <xf numFmtId="0" fontId="0" fillId="5" borderId="6" xfId="0" applyFill="1" applyBorder="1"/>
    <xf numFmtId="0" fontId="0" fillId="2" borderId="6" xfId="0" applyFill="1" applyBorder="1"/>
    <xf numFmtId="0" fontId="0" fillId="0" borderId="7" xfId="0" applyBorder="1"/>
    <xf numFmtId="9" fontId="0" fillId="0" borderId="7" xfId="1" applyFont="1" applyBorder="1"/>
    <xf numFmtId="0" fontId="0" fillId="5" borderId="9" xfId="0" applyFill="1" applyBorder="1"/>
    <xf numFmtId="0" fontId="0" fillId="5" borderId="10" xfId="0" applyFill="1" applyBorder="1"/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0" xfId="0" applyFill="1" applyBorder="1"/>
    <xf numFmtId="9" fontId="0" fillId="0" borderId="0" xfId="1" applyFont="1"/>
    <xf numFmtId="2" fontId="0" fillId="0" borderId="8" xfId="0" applyNumberFormat="1" applyBorder="1"/>
    <xf numFmtId="2" fontId="0" fillId="0" borderId="0" xfId="0" applyNumberFormat="1"/>
    <xf numFmtId="164" fontId="0" fillId="0" borderId="8" xfId="0" applyNumberFormat="1" applyBorder="1"/>
    <xf numFmtId="164" fontId="0" fillId="0" borderId="0" xfId="0" applyNumberFormat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133350</xdr:rowOff>
    </xdr:from>
    <xdr:to>
      <xdr:col>4</xdr:col>
      <xdr:colOff>1200251</xdr:colOff>
      <xdr:row>1</xdr:row>
      <xdr:rowOff>609642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B21E7-52DD-EBA5-CE48-60582E897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0" y="495300"/>
          <a:ext cx="1162151" cy="476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A1ED-6BB5-405D-80AA-481E5FC58725}">
  <dimension ref="A1:J32"/>
  <sheetViews>
    <sheetView tabSelected="1" topLeftCell="A3" workbookViewId="0">
      <pane xSplit="1" topLeftCell="B1" activePane="topRight" state="frozen"/>
      <selection pane="topRight" activeCell="C24" sqref="C24"/>
    </sheetView>
  </sheetViews>
  <sheetFormatPr defaultRowHeight="14.4" x14ac:dyDescent="0.55000000000000004"/>
  <cols>
    <col min="1" max="1" width="21.62890625" style="17" bestFit="1" customWidth="1"/>
    <col min="2" max="2" width="17.83984375" bestFit="1" customWidth="1"/>
    <col min="3" max="3" width="15.47265625" bestFit="1" customWidth="1"/>
    <col min="4" max="4" width="17.83984375" bestFit="1" customWidth="1"/>
    <col min="5" max="5" width="17.05078125" style="20" customWidth="1"/>
    <col min="6" max="6" width="13.89453125" bestFit="1" customWidth="1"/>
    <col min="7" max="7" width="10.20703125" bestFit="1" customWidth="1"/>
    <col min="8" max="8" width="11.68359375" bestFit="1" customWidth="1"/>
    <col min="10" max="10" width="27.83984375" bestFit="1" customWidth="1"/>
    <col min="11" max="11" width="18.9453125" bestFit="1" customWidth="1"/>
    <col min="12" max="12" width="29.26171875" bestFit="1" customWidth="1"/>
    <col min="13" max="13" width="35.3125" bestFit="1" customWidth="1"/>
  </cols>
  <sheetData>
    <row r="1" spans="1:10" ht="28.8" x14ac:dyDescent="0.55000000000000004">
      <c r="A1" s="16"/>
      <c r="E1" s="18" t="s">
        <v>12</v>
      </c>
    </row>
    <row r="2" spans="1:10" ht="56.1" customHeight="1" x14ac:dyDescent="0.55000000000000004">
      <c r="E2" s="19"/>
      <c r="J2" t="s">
        <v>16</v>
      </c>
    </row>
    <row r="3" spans="1:10" x14ac:dyDescent="0.55000000000000004">
      <c r="B3" t="s">
        <v>6</v>
      </c>
      <c r="C3" t="s">
        <v>4</v>
      </c>
      <c r="E3" s="20" t="s">
        <v>5</v>
      </c>
      <c r="F3" t="s">
        <v>14</v>
      </c>
      <c r="G3" t="s">
        <v>13</v>
      </c>
      <c r="H3" t="s">
        <v>15</v>
      </c>
      <c r="J3" t="s">
        <v>52</v>
      </c>
    </row>
    <row r="4" spans="1:10" x14ac:dyDescent="0.55000000000000004">
      <c r="A4" s="12" t="s">
        <v>7</v>
      </c>
      <c r="B4" s="14">
        <v>1800</v>
      </c>
      <c r="C4" s="14"/>
      <c r="D4" s="14"/>
      <c r="E4" s="13"/>
      <c r="F4" s="15">
        <v>7.0000000000000007E-2</v>
      </c>
      <c r="G4" s="14">
        <v>25</v>
      </c>
      <c r="H4" s="14">
        <f>(F4*(F4+1)^G4)/((F4+1)^G4-1)</f>
        <v>8.5810517220665614E-2</v>
      </c>
      <c r="I4" s="14"/>
      <c r="J4" s="22">
        <f>B4*H4</f>
        <v>154.45893099719811</v>
      </c>
    </row>
    <row r="5" spans="1:10" x14ac:dyDescent="0.55000000000000004">
      <c r="J5" s="23"/>
    </row>
    <row r="6" spans="1:10" x14ac:dyDescent="0.55000000000000004">
      <c r="A6" s="12" t="s">
        <v>0</v>
      </c>
      <c r="B6" s="14">
        <v>880</v>
      </c>
      <c r="C6" s="14"/>
      <c r="D6" s="14"/>
      <c r="E6" s="13"/>
      <c r="F6" s="15">
        <v>7.0000000000000007E-2</v>
      </c>
      <c r="G6" s="14">
        <v>25</v>
      </c>
      <c r="H6" s="14">
        <f>(F6*(F6+1)^G6)/((F6+1)^G6-1)</f>
        <v>8.5810517220665614E-2</v>
      </c>
      <c r="I6" s="14"/>
      <c r="J6" s="24">
        <f>B6*H6</f>
        <v>75.513255154185742</v>
      </c>
    </row>
    <row r="7" spans="1:10" x14ac:dyDescent="0.55000000000000004">
      <c r="J7" s="23"/>
    </row>
    <row r="8" spans="1:10" x14ac:dyDescent="0.55000000000000004">
      <c r="A8" s="12" t="s">
        <v>2</v>
      </c>
      <c r="B8" s="14">
        <v>1350</v>
      </c>
      <c r="C8" s="14"/>
      <c r="D8" s="14"/>
      <c r="E8" s="13"/>
      <c r="F8" s="15">
        <v>7.0000000000000007E-2</v>
      </c>
      <c r="G8" s="14">
        <v>25</v>
      </c>
      <c r="H8" s="14">
        <f>(F8*(F8+1)^G8)/((F8+1)^G8-1)</f>
        <v>8.5810517220665614E-2</v>
      </c>
      <c r="I8" s="14"/>
      <c r="J8" s="22">
        <f>B8*H8</f>
        <v>115.84419824789858</v>
      </c>
    </row>
    <row r="9" spans="1:10" x14ac:dyDescent="0.55000000000000004">
      <c r="B9" t="s">
        <v>11</v>
      </c>
      <c r="J9" s="23" t="s">
        <v>53</v>
      </c>
    </row>
    <row r="10" spans="1:10" x14ac:dyDescent="0.55000000000000004">
      <c r="A10" s="12" t="s">
        <v>8</v>
      </c>
      <c r="B10" s="14">
        <v>143</v>
      </c>
      <c r="C10" s="14"/>
      <c r="D10" s="14"/>
      <c r="E10" s="13"/>
      <c r="F10" s="15">
        <v>7.0000000000000007E-2</v>
      </c>
      <c r="G10" s="14">
        <v>15</v>
      </c>
      <c r="H10" s="14">
        <f>(F10*(F10+1)^G10)/((F10+1)^G10-1)</f>
        <v>0.10979462470100652</v>
      </c>
      <c r="I10" s="14"/>
      <c r="J10" s="22">
        <f>B10*H10</f>
        <v>15.700631332243933</v>
      </c>
    </row>
    <row r="11" spans="1:10" x14ac:dyDescent="0.55000000000000004">
      <c r="J11" s="23"/>
    </row>
    <row r="12" spans="1:10" x14ac:dyDescent="0.55000000000000004">
      <c r="B12" t="s">
        <v>6</v>
      </c>
      <c r="J12" t="s">
        <v>52</v>
      </c>
    </row>
    <row r="13" spans="1:10" x14ac:dyDescent="0.55000000000000004">
      <c r="A13" s="12" t="s">
        <v>1</v>
      </c>
      <c r="B13" s="14">
        <f>4000*C23</f>
        <v>4000</v>
      </c>
      <c r="C13" s="14"/>
      <c r="D13" s="14"/>
      <c r="E13" s="13"/>
      <c r="F13" s="15"/>
      <c r="G13" s="14"/>
      <c r="H13" s="14"/>
      <c r="I13" s="14"/>
      <c r="J13" s="22"/>
    </row>
    <row r="14" spans="1:10" x14ac:dyDescent="0.55000000000000004">
      <c r="B14" t="s">
        <v>6</v>
      </c>
      <c r="J14" t="s">
        <v>52</v>
      </c>
    </row>
    <row r="15" spans="1:10" x14ac:dyDescent="0.55000000000000004">
      <c r="A15" s="12" t="s">
        <v>61</v>
      </c>
      <c r="B15" s="14">
        <f>B13*(0.85-0.19)</f>
        <v>2639.9999999999995</v>
      </c>
      <c r="C15" s="14"/>
      <c r="D15" s="14"/>
      <c r="E15" s="13"/>
      <c r="F15" s="15">
        <v>7.0000000000000007E-2</v>
      </c>
      <c r="G15" s="14">
        <v>25</v>
      </c>
      <c r="H15" s="14">
        <f>(F15*(F15+1)^G15)/((F15+1)^G15-1)</f>
        <v>8.5810517220665614E-2</v>
      </c>
      <c r="I15" s="14"/>
      <c r="J15" s="24">
        <f>B15*H15</f>
        <v>226.53976546255717</v>
      </c>
    </row>
    <row r="16" spans="1:10" x14ac:dyDescent="0.55000000000000004">
      <c r="B16" t="s">
        <v>11</v>
      </c>
      <c r="J16" s="23" t="s">
        <v>53</v>
      </c>
    </row>
    <row r="17" spans="1:10" x14ac:dyDescent="0.55000000000000004">
      <c r="A17" s="12" t="s">
        <v>62</v>
      </c>
      <c r="B17" s="14">
        <f>B13*0.15/12</f>
        <v>50</v>
      </c>
      <c r="C17" s="14"/>
      <c r="D17" s="14"/>
      <c r="E17" s="13"/>
      <c r="F17" s="15">
        <v>7.0000000000000007E-2</v>
      </c>
      <c r="G17" s="14">
        <v>25</v>
      </c>
      <c r="H17" s="14">
        <f>(F17*(F17+1)^G17)/((F17+1)^G17-1)</f>
        <v>8.5810517220665614E-2</v>
      </c>
      <c r="I17" s="14"/>
      <c r="J17" s="24">
        <f>B17*H17</f>
        <v>4.2905258610332808</v>
      </c>
    </row>
    <row r="18" spans="1:10" x14ac:dyDescent="0.55000000000000004">
      <c r="B18" t="s">
        <v>6</v>
      </c>
      <c r="F18" s="7"/>
      <c r="J18" t="s">
        <v>52</v>
      </c>
    </row>
    <row r="19" spans="1:10" x14ac:dyDescent="0.55000000000000004">
      <c r="A19" s="12" t="s">
        <v>63</v>
      </c>
      <c r="B19" s="14">
        <f>B13*0.19</f>
        <v>760</v>
      </c>
      <c r="C19" s="14"/>
      <c r="D19" s="14"/>
      <c r="E19" s="13"/>
      <c r="F19" s="15">
        <v>7.0000000000000007E-2</v>
      </c>
      <c r="G19" s="14">
        <v>25</v>
      </c>
      <c r="H19" s="14">
        <f>(F19*(F19+1)^G19)/((F19+1)^G19-1)</f>
        <v>8.5810517220665614E-2</v>
      </c>
      <c r="I19" s="14"/>
      <c r="J19" s="24">
        <f>B19*H19</f>
        <v>65.215993087705868</v>
      </c>
    </row>
    <row r="20" spans="1:10" x14ac:dyDescent="0.55000000000000004">
      <c r="F20" s="7"/>
      <c r="J20" s="25"/>
    </row>
    <row r="21" spans="1:10" x14ac:dyDescent="0.55000000000000004">
      <c r="B21" t="s">
        <v>50</v>
      </c>
    </row>
    <row r="22" spans="1:10" x14ac:dyDescent="0.55000000000000004">
      <c r="B22" t="s">
        <v>51</v>
      </c>
    </row>
    <row r="23" spans="1:10" x14ac:dyDescent="0.55000000000000004">
      <c r="B23" t="s">
        <v>60</v>
      </c>
      <c r="C23">
        <v>1</v>
      </c>
    </row>
    <row r="25" spans="1:10" x14ac:dyDescent="0.55000000000000004">
      <c r="A25" s="17" t="s">
        <v>3</v>
      </c>
    </row>
    <row r="26" spans="1:10" x14ac:dyDescent="0.55000000000000004">
      <c r="B26" t="s">
        <v>6</v>
      </c>
      <c r="F26" s="21"/>
      <c r="J26" t="s">
        <v>52</v>
      </c>
    </row>
    <row r="27" spans="1:10" x14ac:dyDescent="0.55000000000000004">
      <c r="A27" s="12" t="s">
        <v>57</v>
      </c>
      <c r="B27" s="14">
        <v>1000</v>
      </c>
      <c r="C27" s="14"/>
      <c r="D27" s="14"/>
      <c r="E27" s="13"/>
      <c r="F27" s="15">
        <v>7.0000000000000007E-2</v>
      </c>
      <c r="G27" s="14">
        <v>25</v>
      </c>
      <c r="H27" s="14">
        <f>(F27*(F27+1)^G27)/((F27+1)^G27-1)</f>
        <v>8.5810517220665614E-2</v>
      </c>
      <c r="I27" s="14"/>
      <c r="J27" s="22">
        <f>B27*H27</f>
        <v>85.810517220665616</v>
      </c>
    </row>
    <row r="28" spans="1:10" x14ac:dyDescent="0.55000000000000004">
      <c r="B28" t="s">
        <v>6</v>
      </c>
      <c r="F28" s="21"/>
      <c r="J28" t="s">
        <v>52</v>
      </c>
    </row>
    <row r="29" spans="1:10" x14ac:dyDescent="0.55000000000000004">
      <c r="A29" s="12" t="s">
        <v>58</v>
      </c>
      <c r="B29" s="14">
        <v>500</v>
      </c>
      <c r="C29" s="14"/>
      <c r="D29" s="14"/>
      <c r="E29" s="13"/>
      <c r="F29" s="15">
        <v>7.0000000000000007E-2</v>
      </c>
      <c r="G29" s="14">
        <v>25</v>
      </c>
      <c r="H29" s="14">
        <v>8.5810517220665614E-2</v>
      </c>
      <c r="I29" s="14"/>
      <c r="J29" s="22">
        <f>B29*H29</f>
        <v>42.905258610332808</v>
      </c>
    </row>
    <row r="30" spans="1:10" x14ac:dyDescent="0.55000000000000004">
      <c r="B30" t="s">
        <v>55</v>
      </c>
      <c r="C30" t="s">
        <v>56</v>
      </c>
      <c r="D30" t="s">
        <v>11</v>
      </c>
      <c r="F30" s="21"/>
      <c r="J30" t="s">
        <v>53</v>
      </c>
    </row>
    <row r="31" spans="1:10" x14ac:dyDescent="0.55000000000000004">
      <c r="A31" s="12" t="s">
        <v>59</v>
      </c>
      <c r="B31" s="14">
        <v>1000</v>
      </c>
      <c r="C31" s="14">
        <v>30</v>
      </c>
      <c r="D31" s="14">
        <f>B31/C31</f>
        <v>33.333333333333336</v>
      </c>
      <c r="E31" s="13"/>
      <c r="F31" s="15">
        <v>7.0000000000000007E-2</v>
      </c>
      <c r="G31" s="14">
        <v>25</v>
      </c>
      <c r="H31" s="14">
        <f>(F31*(F31+1)^G31)/((F31+1)^G31-1)</f>
        <v>8.5810517220665614E-2</v>
      </c>
      <c r="I31" s="14"/>
      <c r="J31" s="22">
        <f>D31*H31</f>
        <v>2.8603505740221875</v>
      </c>
    </row>
    <row r="32" spans="1:10" ht="28.8" x14ac:dyDescent="0.55000000000000004">
      <c r="J32" s="1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BE74-EFDF-46A4-876C-8BCCF59317A4}">
  <dimension ref="A3:U18"/>
  <sheetViews>
    <sheetView topLeftCell="H1" workbookViewId="0">
      <selection activeCell="N6" sqref="N6"/>
    </sheetView>
  </sheetViews>
  <sheetFormatPr defaultRowHeight="14.4" x14ac:dyDescent="0.55000000000000004"/>
  <cols>
    <col min="1" max="1" width="13.734375" bestFit="1" customWidth="1"/>
    <col min="2" max="2" width="13.734375" style="3" customWidth="1"/>
    <col min="3" max="3" width="13.734375" customWidth="1"/>
    <col min="4" max="4" width="6.15625" style="4" bestFit="1" customWidth="1"/>
    <col min="5" max="5" width="15.3125" style="3" bestFit="1" customWidth="1"/>
    <col min="6" max="6" width="14.734375" bestFit="1" customWidth="1"/>
    <col min="7" max="7" width="14.3125" style="4" bestFit="1" customWidth="1"/>
    <col min="8" max="8" width="15.83984375" style="3" bestFit="1" customWidth="1"/>
    <col min="9" max="9" width="15.05078125" bestFit="1" customWidth="1"/>
    <col min="10" max="10" width="13.3125" style="4" bestFit="1" customWidth="1"/>
    <col min="11" max="11" width="8.83984375" style="3"/>
    <col min="12" max="12" width="11.578125" bestFit="1" customWidth="1"/>
    <col min="13" max="13" width="8.83984375" style="4"/>
    <col min="14" max="14" width="12.578125" style="3" bestFit="1" customWidth="1"/>
    <col min="15" max="15" width="13.89453125" bestFit="1" customWidth="1"/>
    <col min="16" max="16" width="10.26171875" style="4" bestFit="1" customWidth="1"/>
    <col min="17" max="17" width="22.3125" style="3" bestFit="1" customWidth="1"/>
    <col min="18" max="18" width="14.5234375" customWidth="1"/>
    <col min="19" max="19" width="13.3125" style="4" bestFit="1" customWidth="1"/>
    <col min="20" max="20" width="10.1015625" style="3" bestFit="1" customWidth="1"/>
    <col min="21" max="21" width="8.83984375" style="4"/>
  </cols>
  <sheetData>
    <row r="3" spans="1:21" ht="14.7" thickBot="1" x14ac:dyDescent="0.6"/>
    <row r="4" spans="1:21" s="11" customFormat="1" ht="14.7" thickBot="1" x14ac:dyDescent="0.6">
      <c r="A4" s="10"/>
      <c r="B4" s="26" t="s">
        <v>7</v>
      </c>
      <c r="C4" s="27"/>
      <c r="D4" s="28"/>
      <c r="E4" s="26" t="s">
        <v>0</v>
      </c>
      <c r="F4" s="27"/>
      <c r="G4" s="28"/>
      <c r="H4" s="26" t="s">
        <v>2</v>
      </c>
      <c r="I4" s="27"/>
      <c r="J4" s="28"/>
      <c r="K4" s="26" t="s">
        <v>8</v>
      </c>
      <c r="L4" s="27"/>
      <c r="M4" s="28"/>
      <c r="N4" s="26" t="s">
        <v>1</v>
      </c>
      <c r="O4" s="27"/>
      <c r="P4" s="28"/>
      <c r="Q4" s="26" t="s">
        <v>10</v>
      </c>
      <c r="R4" s="27"/>
      <c r="S4" s="28"/>
      <c r="T4" s="26" t="s">
        <v>9</v>
      </c>
      <c r="U4" s="28"/>
    </row>
    <row r="5" spans="1:21" ht="39.9" customHeight="1" x14ac:dyDescent="0.55000000000000004">
      <c r="A5" s="1" t="s">
        <v>17</v>
      </c>
      <c r="B5" s="29">
        <f>'Capital Cost General Calcs'!B4</f>
        <v>1800</v>
      </c>
      <c r="C5" s="30"/>
      <c r="D5" s="31"/>
      <c r="E5" s="29">
        <f>'Capital Cost General Calcs'!B6</f>
        <v>880</v>
      </c>
      <c r="F5" s="30"/>
      <c r="G5" s="31"/>
      <c r="H5" s="29">
        <f>'Capital Cost General Calcs'!B8</f>
        <v>1350</v>
      </c>
      <c r="I5" s="30"/>
      <c r="J5" s="31"/>
      <c r="K5" s="29">
        <f>'Capital Cost General Calcs'!B10</f>
        <v>143</v>
      </c>
      <c r="L5" s="30"/>
      <c r="M5" s="31"/>
      <c r="N5" s="29">
        <f>'Capital Cost General Calcs'!B13</f>
        <v>4000</v>
      </c>
      <c r="O5" s="30"/>
      <c r="P5" s="31"/>
      <c r="Q5" s="29">
        <f>N5*O9</f>
        <v>3400</v>
      </c>
      <c r="R5" s="30"/>
      <c r="S5" s="31"/>
      <c r="T5" s="29">
        <f>N5*O10</f>
        <v>600</v>
      </c>
      <c r="U5" s="31"/>
    </row>
    <row r="7" spans="1:21" s="2" customFormat="1" x14ac:dyDescent="0.55000000000000004">
      <c r="A7" s="2" t="s">
        <v>28</v>
      </c>
      <c r="B7" s="5"/>
      <c r="D7" s="6"/>
      <c r="E7" s="5" t="s">
        <v>47</v>
      </c>
      <c r="F7" s="2" t="s">
        <v>48</v>
      </c>
      <c r="G7" s="6" t="s">
        <v>49</v>
      </c>
      <c r="H7" s="5" t="s">
        <v>47</v>
      </c>
      <c r="I7" s="2" t="s">
        <v>48</v>
      </c>
      <c r="J7" s="6" t="s">
        <v>49</v>
      </c>
      <c r="K7" s="5"/>
      <c r="M7" s="6"/>
      <c r="N7" s="5" t="s">
        <v>47</v>
      </c>
      <c r="O7" s="2" t="s">
        <v>48</v>
      </c>
      <c r="P7" s="6" t="s">
        <v>49</v>
      </c>
      <c r="Q7" s="5" t="s">
        <v>47</v>
      </c>
      <c r="R7" s="2" t="s">
        <v>48</v>
      </c>
      <c r="S7" s="6" t="s">
        <v>49</v>
      </c>
      <c r="T7" s="5"/>
      <c r="U7" s="6"/>
    </row>
    <row r="9" spans="1:21" x14ac:dyDescent="0.55000000000000004">
      <c r="E9" s="3" t="s">
        <v>19</v>
      </c>
      <c r="F9" s="7">
        <v>0.34</v>
      </c>
      <c r="G9" s="8">
        <f t="shared" ref="G9:G15" si="0">E$5*F9</f>
        <v>299.20000000000005</v>
      </c>
      <c r="H9" s="3" t="s">
        <v>29</v>
      </c>
      <c r="I9" s="7">
        <f>287/1436</f>
        <v>0.19986072423398329</v>
      </c>
      <c r="J9" s="8">
        <f>H$5*I9</f>
        <v>269.81197771587745</v>
      </c>
      <c r="N9" t="s">
        <v>36</v>
      </c>
      <c r="O9" s="7">
        <v>0.85</v>
      </c>
      <c r="P9" s="9">
        <f>N5*O9</f>
        <v>3400</v>
      </c>
      <c r="Q9" s="3" t="s">
        <v>38</v>
      </c>
      <c r="R9" s="7">
        <v>0.2</v>
      </c>
      <c r="S9" s="8">
        <f>Q$5*R9</f>
        <v>680</v>
      </c>
    </row>
    <row r="10" spans="1:21" x14ac:dyDescent="0.55000000000000004">
      <c r="E10" s="3" t="s">
        <v>18</v>
      </c>
      <c r="F10" s="7">
        <v>0.05</v>
      </c>
      <c r="G10" s="8">
        <f t="shared" si="0"/>
        <v>44</v>
      </c>
      <c r="H10" s="3" t="s">
        <v>30</v>
      </c>
      <c r="I10" s="7">
        <f>488/1436</f>
        <v>0.33983286908077992</v>
      </c>
      <c r="J10" s="8">
        <f>H$5*I10</f>
        <v>458.77437325905288</v>
      </c>
      <c r="N10" t="s">
        <v>37</v>
      </c>
      <c r="O10" s="7">
        <v>0.15</v>
      </c>
      <c r="P10" s="9">
        <f>N5*O10</f>
        <v>600</v>
      </c>
      <c r="Q10" s="3" t="s">
        <v>41</v>
      </c>
      <c r="R10" s="7">
        <v>0.35</v>
      </c>
      <c r="S10" s="8">
        <f>Q$5*R10</f>
        <v>1190</v>
      </c>
    </row>
    <row r="11" spans="1:21" x14ac:dyDescent="0.55000000000000004">
      <c r="E11" s="3" t="s">
        <v>20</v>
      </c>
      <c r="F11" s="7">
        <v>0.06</v>
      </c>
      <c r="G11" s="8">
        <f t="shared" si="0"/>
        <v>52.8</v>
      </c>
      <c r="H11" s="3" t="s">
        <v>31</v>
      </c>
      <c r="I11" s="7">
        <f>215/1436</f>
        <v>0.14972144846796656</v>
      </c>
      <c r="J11" s="8">
        <f>H$5*I11</f>
        <v>202.12395543175487</v>
      </c>
      <c r="Q11" s="3" t="s">
        <v>39</v>
      </c>
      <c r="R11" s="7">
        <v>0.3</v>
      </c>
      <c r="S11" s="8">
        <f>Q$5*R11</f>
        <v>1020</v>
      </c>
    </row>
    <row r="12" spans="1:21" x14ac:dyDescent="0.55000000000000004">
      <c r="E12" s="3" t="s">
        <v>21</v>
      </c>
      <c r="F12" s="7">
        <v>0.12</v>
      </c>
      <c r="G12" s="8">
        <f t="shared" si="0"/>
        <v>105.6</v>
      </c>
      <c r="H12" s="3" t="s">
        <v>32</v>
      </c>
      <c r="I12" s="7">
        <f>326/1436</f>
        <v>0.22701949860724233</v>
      </c>
      <c r="J12" s="8">
        <f>H$5*I12</f>
        <v>306.47632311977713</v>
      </c>
      <c r="Q12" s="3" t="s">
        <v>40</v>
      </c>
      <c r="R12" s="7">
        <v>0.15</v>
      </c>
      <c r="S12" s="8">
        <f>Q$5*R12</f>
        <v>510</v>
      </c>
    </row>
    <row r="13" spans="1:21" x14ac:dyDescent="0.55000000000000004">
      <c r="E13" s="3" t="s">
        <v>23</v>
      </c>
      <c r="F13" s="7">
        <v>0.01</v>
      </c>
      <c r="G13" s="8">
        <f t="shared" si="0"/>
        <v>8.8000000000000007</v>
      </c>
      <c r="H13" s="3" t="s">
        <v>33</v>
      </c>
      <c r="I13" s="7">
        <f>120/1436</f>
        <v>8.3565459610027856E-2</v>
      </c>
      <c r="J13" s="8">
        <f>H$5*I13</f>
        <v>112.8133704735376</v>
      </c>
    </row>
    <row r="14" spans="1:21" x14ac:dyDescent="0.55000000000000004">
      <c r="E14" s="3" t="s">
        <v>24</v>
      </c>
      <c r="F14" s="7">
        <v>0.2</v>
      </c>
      <c r="G14" s="8">
        <f t="shared" si="0"/>
        <v>176</v>
      </c>
      <c r="Q14" s="3" t="s">
        <v>42</v>
      </c>
      <c r="R14" t="s">
        <v>43</v>
      </c>
      <c r="S14" s="4" t="s">
        <v>45</v>
      </c>
    </row>
    <row r="15" spans="1:21" x14ac:dyDescent="0.55000000000000004">
      <c r="E15" s="3" t="s">
        <v>22</v>
      </c>
      <c r="F15" s="7">
        <v>0.22</v>
      </c>
      <c r="G15" s="8">
        <f t="shared" si="0"/>
        <v>193.6</v>
      </c>
      <c r="R15" t="s">
        <v>44</v>
      </c>
      <c r="S15" s="4" t="s">
        <v>46</v>
      </c>
    </row>
    <row r="17" spans="6:10" x14ac:dyDescent="0.55000000000000004">
      <c r="F17" t="s">
        <v>25</v>
      </c>
      <c r="I17" t="s">
        <v>25</v>
      </c>
    </row>
    <row r="18" spans="6:10" x14ac:dyDescent="0.55000000000000004">
      <c r="F18" t="s">
        <v>26</v>
      </c>
      <c r="G18" s="4" t="s">
        <v>27</v>
      </c>
      <c r="I18" t="s">
        <v>34</v>
      </c>
      <c r="J18" s="4" t="s">
        <v>35</v>
      </c>
    </row>
  </sheetData>
  <mergeCells count="14">
    <mergeCell ref="T4:U4"/>
    <mergeCell ref="T5:U5"/>
    <mergeCell ref="K4:M4"/>
    <mergeCell ref="K5:M5"/>
    <mergeCell ref="N4:P4"/>
    <mergeCell ref="N5:P5"/>
    <mergeCell ref="Q4:S4"/>
    <mergeCell ref="Q5:S5"/>
    <mergeCell ref="B4:D4"/>
    <mergeCell ref="B5:D5"/>
    <mergeCell ref="E4:G4"/>
    <mergeCell ref="E5:G5"/>
    <mergeCell ref="H4:J4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Cost General Calcs</vt:lpstr>
      <vt:lpstr>Detailed Cost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2023-02-19T21:31:20Z</dcterms:created>
  <dcterms:modified xsi:type="dcterms:W3CDTF">2023-08-19T22:10:08Z</dcterms:modified>
</cp:coreProperties>
</file>