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esktop\Research\Publication Material\"/>
    </mc:Choice>
  </mc:AlternateContent>
  <xr:revisionPtr revIDLastSave="0" documentId="13_ncr:1_{8A6FFEE8-CC51-427F-9F30-752AE614F97F}" xr6:coauthVersionLast="47" xr6:coauthVersionMax="47" xr10:uidLastSave="{00000000-0000-0000-0000-000000000000}"/>
  <bookViews>
    <workbookView xWindow="1098" yWindow="1098" windowWidth="17280" windowHeight="8904" firstSheet="1" activeTab="5" xr2:uid="{06F95971-0EF4-42D6-8F39-0716DD50ED78}"/>
  </bookViews>
  <sheets>
    <sheet name="Hydrogen" sheetId="8" r:id="rId1"/>
    <sheet name="Anitgua Current System" sheetId="5" r:id="rId2"/>
    <sheet name="Only Wind,PV,Batteries" sheetId="1" r:id="rId3"/>
    <sheet name="CSP" sheetId="4" r:id="rId4"/>
    <sheet name="Small Diesel" sheetId="6" r:id="rId5"/>
    <sheet name="Available Land_Plant Land Use" sheetId="7" r:id="rId6"/>
    <sheet name="Best Result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7" l="1"/>
  <c r="D18" i="7"/>
  <c r="O118" i="6"/>
  <c r="O117" i="6"/>
  <c r="O116" i="6"/>
  <c r="O115" i="6"/>
  <c r="O114" i="6"/>
  <c r="M66" i="4"/>
  <c r="M65" i="4"/>
  <c r="M64" i="4"/>
  <c r="M63" i="4"/>
  <c r="M62" i="4"/>
  <c r="L66" i="4"/>
  <c r="L65" i="4"/>
  <c r="L64" i="4"/>
  <c r="L63" i="4"/>
  <c r="L62" i="4"/>
  <c r="I82" i="4"/>
  <c r="H80" i="4"/>
  <c r="F80" i="4"/>
  <c r="H79" i="4"/>
  <c r="F79" i="4"/>
  <c r="F81" i="4" s="1"/>
  <c r="I81" i="4" s="1"/>
  <c r="H76" i="4"/>
  <c r="F76" i="4"/>
  <c r="H75" i="4"/>
  <c r="F75" i="4"/>
  <c r="H74" i="4"/>
  <c r="F74" i="4"/>
  <c r="I69" i="4"/>
  <c r="H67" i="4"/>
  <c r="F67" i="4"/>
  <c r="H66" i="4"/>
  <c r="F66" i="4"/>
  <c r="F68" i="4" s="1"/>
  <c r="I68" i="4" s="1"/>
  <c r="H63" i="4"/>
  <c r="F63" i="4"/>
  <c r="H62" i="4"/>
  <c r="F62" i="4"/>
  <c r="H61" i="4"/>
  <c r="F61" i="4"/>
  <c r="I57" i="4"/>
  <c r="H55" i="4"/>
  <c r="F55" i="4"/>
  <c r="H54" i="4"/>
  <c r="F54" i="4"/>
  <c r="H51" i="4"/>
  <c r="F51" i="4"/>
  <c r="H50" i="4"/>
  <c r="F50" i="4"/>
  <c r="H49" i="4"/>
  <c r="F49" i="4"/>
  <c r="F56" i="4" l="1"/>
  <c r="I56" i="4" s="1"/>
  <c r="N118" i="6"/>
  <c r="N117" i="6"/>
  <c r="N116" i="6"/>
  <c r="M117" i="6"/>
  <c r="M118" i="6"/>
  <c r="M116" i="6"/>
  <c r="I113" i="8"/>
  <c r="F111" i="8"/>
  <c r="F110" i="8"/>
  <c r="G107" i="8"/>
  <c r="F107" i="8"/>
  <c r="G106" i="8"/>
  <c r="F106" i="8"/>
  <c r="G105" i="8"/>
  <c r="F105" i="8"/>
  <c r="H102" i="8"/>
  <c r="F102" i="8"/>
  <c r="H101" i="8"/>
  <c r="F101" i="8"/>
  <c r="H100" i="8"/>
  <c r="F100" i="8"/>
  <c r="I45" i="4"/>
  <c r="N115" i="6" s="1"/>
  <c r="H43" i="4"/>
  <c r="F43" i="4"/>
  <c r="H42" i="4"/>
  <c r="F42" i="4"/>
  <c r="H39" i="4"/>
  <c r="F39" i="4"/>
  <c r="H38" i="4"/>
  <c r="F38" i="4"/>
  <c r="H37" i="4"/>
  <c r="F37" i="4"/>
  <c r="I123" i="6"/>
  <c r="M115" i="6" s="1"/>
  <c r="G123" i="6"/>
  <c r="G121" i="6"/>
  <c r="F121" i="6"/>
  <c r="G120" i="6"/>
  <c r="F120" i="6"/>
  <c r="H117" i="6"/>
  <c r="F117" i="6"/>
  <c r="H116" i="6"/>
  <c r="F116" i="6"/>
  <c r="H115" i="6"/>
  <c r="F115" i="6"/>
  <c r="H114" i="6"/>
  <c r="F114" i="6"/>
  <c r="X69" i="6"/>
  <c r="X68" i="6"/>
  <c r="X67" i="6"/>
  <c r="X66" i="6"/>
  <c r="W70" i="6"/>
  <c r="W69" i="6"/>
  <c r="W68" i="6"/>
  <c r="W67" i="6"/>
  <c r="W66" i="6"/>
  <c r="V70" i="6"/>
  <c r="V69" i="6"/>
  <c r="V68" i="6"/>
  <c r="V67" i="6"/>
  <c r="V66" i="6"/>
  <c r="I108" i="6"/>
  <c r="G108" i="6"/>
  <c r="G106" i="6"/>
  <c r="F106" i="6"/>
  <c r="H103" i="6"/>
  <c r="F103" i="6"/>
  <c r="H102" i="6"/>
  <c r="F102" i="6"/>
  <c r="H101" i="6"/>
  <c r="F101" i="6"/>
  <c r="I94" i="6"/>
  <c r="G94" i="6"/>
  <c r="G92" i="6"/>
  <c r="F92" i="6"/>
  <c r="G91" i="6"/>
  <c r="F91" i="6"/>
  <c r="H88" i="6"/>
  <c r="F88" i="6"/>
  <c r="H87" i="6"/>
  <c r="F87" i="6"/>
  <c r="H86" i="6"/>
  <c r="F86" i="6"/>
  <c r="H85" i="6"/>
  <c r="F85" i="6"/>
  <c r="F77" i="6"/>
  <c r="F76" i="6"/>
  <c r="G73" i="6"/>
  <c r="F73" i="6"/>
  <c r="I79" i="6"/>
  <c r="G79" i="6"/>
  <c r="G72" i="6"/>
  <c r="F72" i="6"/>
  <c r="G71" i="6"/>
  <c r="F71" i="6"/>
  <c r="H68" i="6"/>
  <c r="F68" i="6"/>
  <c r="H67" i="6"/>
  <c r="F67" i="6"/>
  <c r="H66" i="6"/>
  <c r="F66" i="6"/>
  <c r="H65" i="6"/>
  <c r="F65" i="6"/>
  <c r="P6" i="5"/>
  <c r="O6" i="5"/>
  <c r="P13" i="8"/>
  <c r="P9" i="8"/>
  <c r="P8" i="8"/>
  <c r="P7" i="8"/>
  <c r="P6" i="8"/>
  <c r="O10" i="8"/>
  <c r="O9" i="8"/>
  <c r="O8" i="8"/>
  <c r="O7" i="8"/>
  <c r="O6" i="8"/>
  <c r="N10" i="8"/>
  <c r="N9" i="8"/>
  <c r="N8" i="8"/>
  <c r="N7" i="8"/>
  <c r="N6" i="8"/>
  <c r="G57" i="6"/>
  <c r="G56" i="6"/>
  <c r="Y10" i="6"/>
  <c r="Y9" i="6"/>
  <c r="Y8" i="6"/>
  <c r="Y7" i="6"/>
  <c r="X10" i="6"/>
  <c r="X9" i="6"/>
  <c r="X8" i="6"/>
  <c r="X7" i="6"/>
  <c r="W10" i="6"/>
  <c r="W9" i="6"/>
  <c r="W8" i="6"/>
  <c r="W7" i="6"/>
  <c r="V10" i="6"/>
  <c r="V9" i="6"/>
  <c r="V8" i="6"/>
  <c r="V7" i="6"/>
  <c r="Q11" i="4"/>
  <c r="Q10" i="4"/>
  <c r="Q9" i="4"/>
  <c r="Q8" i="4"/>
  <c r="Q7" i="4"/>
  <c r="P11" i="4"/>
  <c r="P10" i="4"/>
  <c r="P9" i="4"/>
  <c r="P8" i="4"/>
  <c r="P7" i="4"/>
  <c r="O11" i="4"/>
  <c r="O10" i="4"/>
  <c r="O9" i="4"/>
  <c r="O8" i="4"/>
  <c r="O7" i="4"/>
  <c r="Q10" i="1"/>
  <c r="Q9" i="1"/>
  <c r="Q8" i="1"/>
  <c r="Q7" i="1"/>
  <c r="Q6" i="1"/>
  <c r="Q5" i="1"/>
  <c r="P10" i="1"/>
  <c r="P9" i="1"/>
  <c r="P8" i="1"/>
  <c r="P7" i="1"/>
  <c r="P6" i="1"/>
  <c r="P5" i="1"/>
  <c r="O10" i="1"/>
  <c r="O9" i="1"/>
  <c r="O8" i="1"/>
  <c r="O7" i="1"/>
  <c r="O6" i="1"/>
  <c r="O5" i="1"/>
  <c r="G89" i="8"/>
  <c r="G88" i="8"/>
  <c r="I80" i="8"/>
  <c r="G59" i="8"/>
  <c r="G73" i="8"/>
  <c r="G12" i="8"/>
  <c r="G11" i="8"/>
  <c r="G28" i="8"/>
  <c r="G27" i="8"/>
  <c r="G44" i="8"/>
  <c r="G43" i="8"/>
  <c r="F122" i="6" l="1"/>
  <c r="I122" i="6" s="1"/>
  <c r="M114" i="6" s="1"/>
  <c r="F112" i="8"/>
  <c r="I112" i="8" s="1"/>
  <c r="F44" i="4"/>
  <c r="I44" i="4" s="1"/>
  <c r="N114" i="6" s="1"/>
  <c r="F93" i="6"/>
  <c r="I93" i="6" s="1"/>
  <c r="F107" i="6"/>
  <c r="I107" i="6" s="1"/>
  <c r="F78" i="6"/>
  <c r="I78" i="6" s="1"/>
  <c r="G59" i="6"/>
  <c r="G42" i="6"/>
  <c r="G41" i="6"/>
  <c r="G44" i="6"/>
  <c r="H20" i="6"/>
  <c r="G27" i="6"/>
  <c r="G26" i="6"/>
  <c r="H21" i="6"/>
  <c r="H22" i="6"/>
  <c r="H35" i="6"/>
  <c r="H36" i="6"/>
  <c r="H37" i="6"/>
  <c r="H50" i="6"/>
  <c r="H51" i="6"/>
  <c r="H52" i="6"/>
  <c r="G29" i="6"/>
  <c r="G14" i="6"/>
  <c r="G12" i="6"/>
  <c r="G11" i="6"/>
  <c r="H5" i="6"/>
  <c r="H6" i="6"/>
  <c r="H7" i="6"/>
  <c r="H30" i="4"/>
  <c r="H31" i="4"/>
  <c r="H11" i="4"/>
  <c r="H10" i="4"/>
  <c r="H21" i="4"/>
  <c r="H20" i="4"/>
  <c r="H7" i="4"/>
  <c r="H17" i="4"/>
  <c r="H27" i="4"/>
  <c r="H26" i="4"/>
  <c r="H25" i="4"/>
  <c r="H16" i="4"/>
  <c r="H15" i="4"/>
  <c r="H6" i="4"/>
  <c r="H5" i="4"/>
  <c r="H6" i="1"/>
  <c r="H5" i="1"/>
  <c r="H14" i="1"/>
  <c r="H13" i="1"/>
  <c r="H22" i="1"/>
  <c r="H21" i="1"/>
  <c r="I15" i="5"/>
  <c r="H13" i="5"/>
  <c r="F13" i="5"/>
  <c r="H12" i="5"/>
  <c r="F12" i="5"/>
  <c r="F15" i="5" s="1"/>
  <c r="H6" i="5"/>
  <c r="I96" i="8" l="1"/>
  <c r="F94" i="8"/>
  <c r="F93" i="8"/>
  <c r="G90" i="8"/>
  <c r="F90" i="8"/>
  <c r="F89" i="8"/>
  <c r="F88" i="8"/>
  <c r="H85" i="8"/>
  <c r="F85" i="8"/>
  <c r="H84" i="8"/>
  <c r="F84" i="8"/>
  <c r="H83" i="8"/>
  <c r="F83" i="8"/>
  <c r="F78" i="8"/>
  <c r="F77" i="8"/>
  <c r="G74" i="8"/>
  <c r="F74" i="8"/>
  <c r="F73" i="8"/>
  <c r="H70" i="8"/>
  <c r="F70" i="8"/>
  <c r="H69" i="8"/>
  <c r="F69" i="8"/>
  <c r="F24" i="8"/>
  <c r="H24" i="8"/>
  <c r="F28" i="8"/>
  <c r="I35" i="8"/>
  <c r="F56" i="8"/>
  <c r="H56" i="8"/>
  <c r="I66" i="8"/>
  <c r="F64" i="8"/>
  <c r="F63" i="8"/>
  <c r="G60" i="8"/>
  <c r="F60" i="8"/>
  <c r="F59" i="8"/>
  <c r="H55" i="8"/>
  <c r="F55" i="8"/>
  <c r="H54" i="8"/>
  <c r="F54" i="8"/>
  <c r="H40" i="8"/>
  <c r="H39" i="8"/>
  <c r="H38" i="8"/>
  <c r="F49" i="8"/>
  <c r="F48" i="8"/>
  <c r="G45" i="8"/>
  <c r="F45" i="8"/>
  <c r="H23" i="8"/>
  <c r="H22" i="8"/>
  <c r="H5" i="8"/>
  <c r="H6" i="8"/>
  <c r="H7" i="8"/>
  <c r="H8" i="8"/>
  <c r="G29" i="8"/>
  <c r="G13" i="8"/>
  <c r="F29" i="8"/>
  <c r="F32" i="8"/>
  <c r="F33" i="8"/>
  <c r="F13" i="8"/>
  <c r="F16" i="8"/>
  <c r="F17" i="8"/>
  <c r="F7" i="8"/>
  <c r="F8" i="8"/>
  <c r="I51" i="8"/>
  <c r="F44" i="8"/>
  <c r="F43" i="8"/>
  <c r="F40" i="8"/>
  <c r="F39" i="8"/>
  <c r="F38" i="8"/>
  <c r="F27" i="8"/>
  <c r="F23" i="8"/>
  <c r="F22" i="8"/>
  <c r="F95" i="8" l="1"/>
  <c r="I95" i="8" s="1"/>
  <c r="F79" i="8"/>
  <c r="I79" i="8" s="1"/>
  <c r="F50" i="8"/>
  <c r="I50" i="8" s="1"/>
  <c r="F65" i="8"/>
  <c r="I65" i="8" s="1"/>
  <c r="F34" i="8"/>
  <c r="I34" i="8" s="1"/>
  <c r="I19" i="8"/>
  <c r="F12" i="8"/>
  <c r="F11" i="8"/>
  <c r="F6" i="8"/>
  <c r="F5" i="8"/>
  <c r="C6" i="7"/>
  <c r="C5" i="7"/>
  <c r="I27" i="1"/>
  <c r="I19" i="1"/>
  <c r="I11" i="1"/>
  <c r="I33" i="4"/>
  <c r="I23" i="4"/>
  <c r="I13" i="4"/>
  <c r="I59" i="6"/>
  <c r="Y6" i="6" s="1"/>
  <c r="I14" i="6"/>
  <c r="V6" i="6" s="1"/>
  <c r="I29" i="6"/>
  <c r="W6" i="6" s="1"/>
  <c r="I44" i="6"/>
  <c r="X6" i="6" s="1"/>
  <c r="D14" i="7"/>
  <c r="D13" i="7"/>
  <c r="F18" i="8" l="1"/>
  <c r="I18" i="8" s="1"/>
  <c r="H5" i="5"/>
  <c r="H53" i="6"/>
  <c r="H38" i="6"/>
  <c r="H23" i="6"/>
  <c r="H8" i="6"/>
  <c r="F5" i="6"/>
  <c r="F6" i="6"/>
  <c r="F7" i="6"/>
  <c r="F8" i="6"/>
  <c r="F11" i="6"/>
  <c r="F12" i="6"/>
  <c r="F27" i="6"/>
  <c r="F26" i="6"/>
  <c r="F23" i="6"/>
  <c r="F22" i="6"/>
  <c r="F21" i="6"/>
  <c r="F20" i="6"/>
  <c r="F57" i="6"/>
  <c r="F56" i="6"/>
  <c r="F53" i="6"/>
  <c r="F52" i="6"/>
  <c r="F51" i="6"/>
  <c r="F50" i="6"/>
  <c r="F42" i="6"/>
  <c r="F41" i="6"/>
  <c r="F38" i="6"/>
  <c r="F37" i="6"/>
  <c r="F36" i="6"/>
  <c r="F35" i="6"/>
  <c r="F5" i="5"/>
  <c r="F6" i="5"/>
  <c r="H25" i="1"/>
  <c r="H17" i="1"/>
  <c r="H9" i="1"/>
  <c r="F31" i="4"/>
  <c r="F21" i="4"/>
  <c r="F27" i="4"/>
  <c r="F17" i="4"/>
  <c r="F11" i="4"/>
  <c r="F7" i="4"/>
  <c r="F30" i="4"/>
  <c r="F26" i="4"/>
  <c r="F25" i="4"/>
  <c r="F20" i="4"/>
  <c r="F16" i="4"/>
  <c r="F15" i="4"/>
  <c r="F10" i="4"/>
  <c r="F6" i="4"/>
  <c r="F5" i="4"/>
  <c r="F25" i="1"/>
  <c r="F17" i="1"/>
  <c r="F18" i="1" s="1"/>
  <c r="I18" i="1" s="1"/>
  <c r="F9" i="1"/>
  <c r="F22" i="1"/>
  <c r="F21" i="1"/>
  <c r="F14" i="1"/>
  <c r="F13" i="1"/>
  <c r="F6" i="1"/>
  <c r="F5" i="1"/>
  <c r="F26" i="1" l="1"/>
  <c r="I26" i="1" s="1"/>
  <c r="F10" i="1"/>
  <c r="I10" i="1" s="1"/>
  <c r="F8" i="5"/>
  <c r="I8" i="5" s="1"/>
  <c r="F13" i="6"/>
  <c r="I13" i="6" s="1"/>
  <c r="V5" i="6" s="1"/>
  <c r="F28" i="6"/>
  <c r="I28" i="6" s="1"/>
  <c r="W5" i="6" s="1"/>
  <c r="F58" i="6"/>
  <c r="I58" i="6" s="1"/>
  <c r="Y5" i="6" s="1"/>
  <c r="F43" i="6"/>
  <c r="I43" i="6" s="1"/>
  <c r="X5" i="6" s="1"/>
  <c r="F32" i="4"/>
  <c r="I32" i="4" s="1"/>
  <c r="F22" i="4"/>
  <c r="I22" i="4" s="1"/>
  <c r="F12" i="4"/>
  <c r="I12" i="4" s="1"/>
</calcChain>
</file>

<file path=xl/sharedStrings.xml><?xml version="1.0" encoding="utf-8"?>
<sst xmlns="http://schemas.openxmlformats.org/spreadsheetml/2006/main" count="1021" uniqueCount="136">
  <si>
    <t>Capital Cost</t>
  </si>
  <si>
    <t>MWh</t>
  </si>
  <si>
    <t>Max/min?</t>
  </si>
  <si>
    <t>Wind</t>
  </si>
  <si>
    <t>PV</t>
  </si>
  <si>
    <t>CSP</t>
  </si>
  <si>
    <t>Batteries</t>
  </si>
  <si>
    <t>Utility</t>
  </si>
  <si>
    <t>Thermal</t>
  </si>
  <si>
    <t>max</t>
  </si>
  <si>
    <t>none</t>
  </si>
  <si>
    <t>e_initial</t>
  </si>
  <si>
    <t>25MW Wind</t>
  </si>
  <si>
    <t>50MW Wind</t>
  </si>
  <si>
    <t>100MW Wind</t>
  </si>
  <si>
    <t>No CSP</t>
  </si>
  <si>
    <t>Inputs</t>
  </si>
  <si>
    <t>Results</t>
  </si>
  <si>
    <t>Cost ($)</t>
  </si>
  <si>
    <t>Capital Cost:</t>
  </si>
  <si>
    <t>LCOE ($/MWh):</t>
  </si>
  <si>
    <t>Total Load (MWh):</t>
  </si>
  <si>
    <t>Hours of Storage</t>
  </si>
  <si>
    <t>Generators</t>
  </si>
  <si>
    <t>Antigua Current Energy System</t>
  </si>
  <si>
    <t xml:space="preserve">Diesel </t>
  </si>
  <si>
    <t>Solar PV</t>
  </si>
  <si>
    <t>Capital Cost ($/MW)</t>
  </si>
  <si>
    <t>Marginal Cost ($/MWh)</t>
  </si>
  <si>
    <t>Energy Generated</t>
  </si>
  <si>
    <t>10 MW Diesel</t>
  </si>
  <si>
    <t>Diesel</t>
  </si>
  <si>
    <t>Energy Generation (MWh)</t>
  </si>
  <si>
    <t>5 MW Diesel</t>
  </si>
  <si>
    <t>No Restrictions</t>
  </si>
  <si>
    <t>3 MW Diesel</t>
  </si>
  <si>
    <t>Capacity Factor</t>
  </si>
  <si>
    <t>MW</t>
  </si>
  <si>
    <t>Sites</t>
  </si>
  <si>
    <t xml:space="preserve">West Indies Oil Company </t>
  </si>
  <si>
    <t>Crabbs Peninsula</t>
  </si>
  <si>
    <t>Area (m^2)</t>
  </si>
  <si>
    <t>Land Use By Renewable Source</t>
  </si>
  <si>
    <t>Renewable Source</t>
  </si>
  <si>
    <t>Area Use (acre/MW)</t>
  </si>
  <si>
    <t>??</t>
  </si>
  <si>
    <t>Land Use (m^2/MW)</t>
  </si>
  <si>
    <t>Land Use (km^2):</t>
  </si>
  <si>
    <t>Area (acres)</t>
  </si>
  <si>
    <t>Hydrogen Storage</t>
  </si>
  <si>
    <t>Hydrogen Fuel Cell</t>
  </si>
  <si>
    <t>Links</t>
  </si>
  <si>
    <t>Hydrogen Electrolyzer</t>
  </si>
  <si>
    <t>Capital Cost ($/kWh)</t>
  </si>
  <si>
    <t>Capital Cost ($/MWh)</t>
  </si>
  <si>
    <t>No Diesel</t>
  </si>
  <si>
    <t>min</t>
  </si>
  <si>
    <t>Limited Wind (&lt;25)</t>
  </si>
  <si>
    <t>No Batteries</t>
  </si>
  <si>
    <t>Bigger Batteries</t>
  </si>
  <si>
    <t>Current System</t>
  </si>
  <si>
    <t>Diesel System in 2035</t>
  </si>
  <si>
    <t>2020 load</t>
  </si>
  <si>
    <t>2035 load</t>
  </si>
  <si>
    <t>Power Generation (MWh)</t>
  </si>
  <si>
    <t>Small Diesel with limited batteries</t>
  </si>
  <si>
    <t>^Renewable Penetration^</t>
  </si>
  <si>
    <t>Available Industrial Land in Antigua</t>
  </si>
  <si>
    <t>Presentable Results</t>
  </si>
  <si>
    <t>Solar PV, Wind, and Batteries Only</t>
  </si>
  <si>
    <t>Scenarios</t>
  </si>
  <si>
    <t>25 MW Wind Max</t>
  </si>
  <si>
    <t>50 MW Wind Max</t>
  </si>
  <si>
    <t>100 MW Wind Max</t>
  </si>
  <si>
    <t>LCOE ($/MWh)</t>
  </si>
  <si>
    <t>Land Use (km^2)</t>
  </si>
  <si>
    <t>Solar PV (MW)</t>
  </si>
  <si>
    <t>Wind (MW)</t>
  </si>
  <si>
    <t>Utility Storage (MWh)</t>
  </si>
  <si>
    <t>Hours of Storage (Hours)</t>
  </si>
  <si>
    <t>CSP (MW)</t>
  </si>
  <si>
    <t>Utility Storage (MWh)/Hours of Storage</t>
  </si>
  <si>
    <t>CSP Thermal Storage (MWh)/Hours of Storage</t>
  </si>
  <si>
    <t>561/8</t>
  </si>
  <si>
    <t>542/7.75</t>
  </si>
  <si>
    <t>1680/24</t>
  </si>
  <si>
    <t>548/7.8</t>
  </si>
  <si>
    <t>182/2</t>
  </si>
  <si>
    <t>53/0.75</t>
  </si>
  <si>
    <t>420/6</t>
  </si>
  <si>
    <t>1397/20</t>
  </si>
  <si>
    <t>Diesel (MW)</t>
  </si>
  <si>
    <t>Renewable Energy Penetration (%)</t>
  </si>
  <si>
    <t>Small Diesel Contribution</t>
  </si>
  <si>
    <t>Renewables with CSP</t>
  </si>
  <si>
    <t>Renewables with CSP &amp; Hydrogen Storage</t>
  </si>
  <si>
    <t>Limited Wind (&lt;25 MW)</t>
  </si>
  <si>
    <t>Hydrogen Storage (MWh)/Hours of Storage</t>
  </si>
  <si>
    <t>Hydrogen Electrolyzer (MW)</t>
  </si>
  <si>
    <t>Hydrogen Fuel Cell (MW)</t>
  </si>
  <si>
    <t>1014/14.5</t>
  </si>
  <si>
    <t>823/11.75</t>
  </si>
  <si>
    <t>N/A</t>
  </si>
  <si>
    <t>Antigua Current and Future Business as Usual System</t>
  </si>
  <si>
    <t>2035 System</t>
  </si>
  <si>
    <t>86% Renewable Penetration - Any</t>
  </si>
  <si>
    <t>86% Renewable Penetration - No Hydrogen</t>
  </si>
  <si>
    <t>86% Renewable Penetration - No Hydrogen or CSP</t>
  </si>
  <si>
    <t>km^2</t>
  </si>
  <si>
    <t>Constant 7 MW Diesel Contribution</t>
  </si>
  <si>
    <t>No Hydrogen</t>
  </si>
  <si>
    <t>No Hydrogen or CSP</t>
  </si>
  <si>
    <t>473/6.8</t>
  </si>
  <si>
    <t>463/6.6</t>
  </si>
  <si>
    <t>1804/129</t>
  </si>
  <si>
    <t>488/7</t>
  </si>
  <si>
    <t>1337/19.1</t>
  </si>
  <si>
    <t>1318/18.8</t>
  </si>
  <si>
    <t>No Restrictions - Higher Diesel MC</t>
  </si>
  <si>
    <t>MC - Marginal Cost</t>
  </si>
  <si>
    <t>Increased Solar Cost</t>
  </si>
  <si>
    <t>Increased Solar</t>
  </si>
  <si>
    <t>Sensitivity Tests</t>
  </si>
  <si>
    <t>Increased CSP Cost; 25MW Wind</t>
  </si>
  <si>
    <t>Decreased Solar Cost; 25MW Wind</t>
  </si>
  <si>
    <t>Decreased CSP Cost; 25MW Wind</t>
  </si>
  <si>
    <t>Sensitivity Tests Continued</t>
  </si>
  <si>
    <t>CSP CAPEX Increased</t>
  </si>
  <si>
    <t>CSP CAPEX Decreased</t>
  </si>
  <si>
    <t>562/8</t>
  </si>
  <si>
    <t>541/7.75</t>
  </si>
  <si>
    <t>Solar PV CAPEX Increased</t>
  </si>
  <si>
    <t>Solar PV CAPEX Decreased</t>
  </si>
  <si>
    <t>555/7.9</t>
  </si>
  <si>
    <t>1631/23.3</t>
  </si>
  <si>
    <t>30,000 houses with solar (4 kW per house)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</si>
</sst>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%"/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4" fontId="0" fillId="0" borderId="0" xfId="1" applyFont="1" applyBorder="1"/>
    <xf numFmtId="44" fontId="0" fillId="0" borderId="0" xfId="0" applyNumberFormat="1"/>
    <xf numFmtId="0" fontId="0" fillId="0" borderId="5" xfId="0" applyBorder="1"/>
    <xf numFmtId="0" fontId="0" fillId="5" borderId="4" xfId="0" applyFill="1" applyBorder="1"/>
    <xf numFmtId="0" fontId="0" fillId="0" borderId="6" xfId="0" applyBorder="1"/>
    <xf numFmtId="0" fontId="0" fillId="0" borderId="7" xfId="0" applyBorder="1"/>
    <xf numFmtId="44" fontId="0" fillId="0" borderId="7" xfId="1" applyFont="1" applyBorder="1"/>
    <xf numFmtId="164" fontId="0" fillId="0" borderId="0" xfId="0" applyNumberFormat="1"/>
    <xf numFmtId="0" fontId="0" fillId="6" borderId="7" xfId="0" applyFill="1" applyBorder="1"/>
    <xf numFmtId="44" fontId="0" fillId="6" borderId="7" xfId="0" applyNumberFormat="1" applyFill="1" applyBorder="1"/>
    <xf numFmtId="2" fontId="0" fillId="6" borderId="8" xfId="0" applyNumberFormat="1" applyFill="1" applyBorder="1"/>
    <xf numFmtId="0" fontId="0" fillId="5" borderId="1" xfId="0" applyFill="1" applyBorder="1"/>
    <xf numFmtId="165" fontId="0" fillId="0" borderId="0" xfId="2" applyNumberFormat="1" applyFont="1"/>
    <xf numFmtId="43" fontId="0" fillId="0" borderId="0" xfId="3" applyFont="1"/>
    <xf numFmtId="166" fontId="0" fillId="0" borderId="0" xfId="0" applyNumberFormat="1"/>
    <xf numFmtId="43" fontId="0" fillId="0" borderId="0" xfId="0" applyNumberFormat="1"/>
    <xf numFmtId="9" fontId="0" fillId="0" borderId="0" xfId="2" applyFont="1"/>
    <xf numFmtId="2" fontId="0" fillId="0" borderId="0" xfId="0" applyNumberFormat="1"/>
    <xf numFmtId="167" fontId="0" fillId="0" borderId="0" xfId="0" applyNumberFormat="1"/>
    <xf numFmtId="0" fontId="0" fillId="7" borderId="0" xfId="0" applyFill="1"/>
    <xf numFmtId="0" fontId="0" fillId="9" borderId="9" xfId="0" applyFill="1" applyBorder="1"/>
    <xf numFmtId="0" fontId="0" fillId="8" borderId="9" xfId="0" applyFill="1" applyBorder="1"/>
    <xf numFmtId="2" fontId="0" fillId="0" borderId="9" xfId="0" applyNumberFormat="1" applyBorder="1"/>
    <xf numFmtId="167" fontId="0" fillId="0" borderId="9" xfId="0" applyNumberFormat="1" applyBorder="1"/>
    <xf numFmtId="166" fontId="0" fillId="0" borderId="9" xfId="0" applyNumberFormat="1" applyBorder="1"/>
    <xf numFmtId="0" fontId="0" fillId="0" borderId="9" xfId="0" applyBorder="1"/>
    <xf numFmtId="0" fontId="0" fillId="0" borderId="9" xfId="0" applyBorder="1" applyAlignment="1">
      <alignment horizontal="right"/>
    </xf>
    <xf numFmtId="0" fontId="0" fillId="7" borderId="9" xfId="0" applyFill="1" applyBorder="1"/>
    <xf numFmtId="2" fontId="0" fillId="0" borderId="9" xfId="0" applyNumberFormat="1" applyBorder="1" applyAlignment="1">
      <alignment horizontal="right"/>
    </xf>
    <xf numFmtId="167" fontId="0" fillId="0" borderId="9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" fontId="0" fillId="0" borderId="9" xfId="0" applyNumberFormat="1" applyBorder="1"/>
    <xf numFmtId="0" fontId="0" fillId="3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276225</xdr:colOff>
      <xdr:row>47</xdr:row>
      <xdr:rowOff>132254</xdr:rowOff>
    </xdr:from>
    <xdr:to>
      <xdr:col>12</xdr:col>
      <xdr:colOff>875233</xdr:colOff>
      <xdr:row>62</xdr:row>
      <xdr:rowOff>26671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A6AD15-1483-32C0-0D64-D637E2B3A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15650" y="8761904"/>
          <a:ext cx="4675708" cy="2637617"/>
        </a:xfrm>
        <a:prstGeom prst="rect">
          <a:avLst/>
        </a:prstGeom>
      </xdr:spPr>
    </xdr:pic>
    <xdr:clientData/>
  </xdr:twoCellAnchor>
  <xdr:twoCellAnchor editAs="oneCell">
    <xdr:from>
      <xdr:col>9</xdr:col>
      <xdr:colOff>205322</xdr:colOff>
      <xdr:row>1</xdr:row>
      <xdr:rowOff>160019</xdr:rowOff>
    </xdr:from>
    <xdr:to>
      <xdr:col>13</xdr:col>
      <xdr:colOff>323851</xdr:colOff>
      <xdr:row>16</xdr:row>
      <xdr:rowOff>47623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89A297-09EB-4D4B-8887-E24DF43F2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3822" y="342899"/>
          <a:ext cx="5189638" cy="2647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133350</xdr:colOff>
      <xdr:row>16</xdr:row>
      <xdr:rowOff>44735</xdr:rowOff>
    </xdr:from>
    <xdr:to>
      <xdr:col>13</xdr:col>
      <xdr:colOff>457200</xdr:colOff>
      <xdr:row>30</xdr:row>
      <xdr:rowOff>171449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DA04B7-8153-05B3-F862-24C1350C2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9620" y="2986055"/>
          <a:ext cx="5391150" cy="27060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175260</xdr:colOff>
      <xdr:row>31</xdr:row>
      <xdr:rowOff>140678</xdr:rowOff>
    </xdr:from>
    <xdr:to>
      <xdr:col>13</xdr:col>
      <xdr:colOff>391819</xdr:colOff>
      <xdr:row>46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678AAF-FB92-CF62-D4C5-0BA95AB4B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1530" y="5840438"/>
          <a:ext cx="5285764" cy="2674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D19A-8B06-4070-AFF4-6F1403ADB2F5}">
  <dimension ref="A1:P113"/>
  <sheetViews>
    <sheetView zoomScaleNormal="100" workbookViewId="0">
      <selection activeCell="M4" sqref="M4:P15"/>
    </sheetView>
  </sheetViews>
  <sheetFormatPr defaultRowHeight="14.4" x14ac:dyDescent="0.55000000000000004"/>
  <cols>
    <col min="1" max="1" width="18.15625" bestFit="1" customWidth="1"/>
    <col min="2" max="2" width="17.83984375" bestFit="1" customWidth="1"/>
    <col min="3" max="3" width="19.41796875" bestFit="1" customWidth="1"/>
    <col min="5" max="5" width="12.83984375" bestFit="1" customWidth="1"/>
    <col min="6" max="6" width="16.62890625" bestFit="1" customWidth="1"/>
    <col min="7" max="8" width="15.3125" customWidth="1"/>
    <col min="9" max="9" width="14.3125" bestFit="1" customWidth="1"/>
    <col min="11" max="11" width="15.3125" bestFit="1" customWidth="1"/>
    <col min="13" max="13" width="37.3671875" bestFit="1" customWidth="1"/>
    <col min="14" max="14" width="15.05078125" bestFit="1" customWidth="1"/>
    <col min="15" max="15" width="19.578125" bestFit="1" customWidth="1"/>
    <col min="16" max="16" width="16.05078125" bestFit="1" customWidth="1"/>
  </cols>
  <sheetData>
    <row r="1" spans="1:16" x14ac:dyDescent="0.55000000000000004">
      <c r="A1" t="s">
        <v>49</v>
      </c>
      <c r="K1" t="s">
        <v>21</v>
      </c>
      <c r="L1">
        <v>437087.06999999972</v>
      </c>
    </row>
    <row r="2" spans="1:16" ht="14.7" thickBot="1" x14ac:dyDescent="0.6"/>
    <row r="3" spans="1:16" ht="14.7" thickBot="1" x14ac:dyDescent="0.6">
      <c r="A3" s="3" t="s">
        <v>34</v>
      </c>
      <c r="B3" s="39" t="s">
        <v>16</v>
      </c>
      <c r="C3" s="39"/>
      <c r="E3" s="40" t="s">
        <v>17</v>
      </c>
      <c r="F3" s="40"/>
      <c r="G3" s="40"/>
      <c r="H3" s="40"/>
      <c r="I3" s="40"/>
    </row>
    <row r="4" spans="1:16" x14ac:dyDescent="0.55000000000000004">
      <c r="A4" s="18" t="s">
        <v>23</v>
      </c>
      <c r="B4" s="4" t="s">
        <v>27</v>
      </c>
      <c r="C4" s="4" t="s">
        <v>28</v>
      </c>
      <c r="D4" s="4"/>
      <c r="E4" s="4" t="s">
        <v>37</v>
      </c>
      <c r="F4" s="4" t="s">
        <v>18</v>
      </c>
      <c r="G4" s="4" t="s">
        <v>32</v>
      </c>
      <c r="H4" s="4" t="s">
        <v>36</v>
      </c>
      <c r="I4" s="5" t="s">
        <v>2</v>
      </c>
      <c r="M4" s="41" t="s">
        <v>95</v>
      </c>
      <c r="N4" s="41"/>
      <c r="O4" s="41"/>
      <c r="P4" s="41"/>
    </row>
    <row r="5" spans="1:16" x14ac:dyDescent="0.55000000000000004">
      <c r="A5" s="6" t="s">
        <v>3</v>
      </c>
      <c r="B5" s="14">
        <v>116276</v>
      </c>
      <c r="E5">
        <v>91</v>
      </c>
      <c r="F5" s="8">
        <f>E5*B5</f>
        <v>10581116</v>
      </c>
      <c r="G5">
        <v>306442</v>
      </c>
      <c r="H5" s="19">
        <f t="shared" ref="H5:H7" si="0">G5/(E5*8760)</f>
        <v>0.38441718099252348</v>
      </c>
      <c r="I5" s="9" t="s">
        <v>10</v>
      </c>
      <c r="M5" s="27" t="s">
        <v>70</v>
      </c>
      <c r="N5" s="27" t="s">
        <v>34</v>
      </c>
      <c r="O5" s="27" t="s">
        <v>96</v>
      </c>
      <c r="P5" s="27" t="s">
        <v>15</v>
      </c>
    </row>
    <row r="6" spans="1:16" x14ac:dyDescent="0.55000000000000004">
      <c r="A6" s="6" t="s">
        <v>4</v>
      </c>
      <c r="B6" s="14">
        <v>75772</v>
      </c>
      <c r="E6">
        <v>104</v>
      </c>
      <c r="F6" s="8">
        <f>E6*B6</f>
        <v>7880288</v>
      </c>
      <c r="G6">
        <v>88546</v>
      </c>
      <c r="H6" s="19">
        <f t="shared" si="0"/>
        <v>9.7192219880576039E-2</v>
      </c>
      <c r="I6" s="9" t="s">
        <v>10</v>
      </c>
      <c r="M6" s="28" t="s">
        <v>74</v>
      </c>
      <c r="N6" s="29">
        <f>I34</f>
        <v>116.23413156559408</v>
      </c>
      <c r="O6" s="29">
        <f>I50</f>
        <v>121.94372622370192</v>
      </c>
      <c r="P6" s="29">
        <f>I79</f>
        <v>123.54342579843424</v>
      </c>
    </row>
    <row r="7" spans="1:16" x14ac:dyDescent="0.55000000000000004">
      <c r="A7" s="6" t="s">
        <v>5</v>
      </c>
      <c r="B7" s="7">
        <v>291720</v>
      </c>
      <c r="E7">
        <v>0</v>
      </c>
      <c r="F7" s="8">
        <f t="shared" ref="F7:F8" si="1">E7*B7</f>
        <v>0</v>
      </c>
      <c r="G7">
        <v>0</v>
      </c>
      <c r="H7" s="19" t="e">
        <f t="shared" si="0"/>
        <v>#DIV/0!</v>
      </c>
      <c r="I7" s="9" t="s">
        <v>56</v>
      </c>
      <c r="M7" s="28" t="s">
        <v>75</v>
      </c>
      <c r="N7" s="30">
        <f>I35</f>
        <v>5.2738679520000007</v>
      </c>
      <c r="O7" s="30">
        <f>I51</f>
        <v>6.5300132960000008</v>
      </c>
      <c r="P7" s="31">
        <f>I80</f>
        <v>6.9856897320000009</v>
      </c>
    </row>
    <row r="8" spans="1:16" x14ac:dyDescent="0.55000000000000004">
      <c r="A8" s="6" t="s">
        <v>31</v>
      </c>
      <c r="B8" s="14">
        <v>154460</v>
      </c>
      <c r="C8" s="14">
        <v>170</v>
      </c>
      <c r="E8">
        <v>35</v>
      </c>
      <c r="F8" s="8">
        <f t="shared" si="1"/>
        <v>5406100</v>
      </c>
      <c r="G8">
        <v>50888</v>
      </c>
      <c r="H8" s="19">
        <f>G8/(E8*8760)</f>
        <v>0.16597521200260926</v>
      </c>
      <c r="I8" s="9" t="s">
        <v>10</v>
      </c>
      <c r="M8" s="28" t="s">
        <v>76</v>
      </c>
      <c r="N8" s="32">
        <f>E23</f>
        <v>301</v>
      </c>
      <c r="O8" s="32">
        <f>E39</f>
        <v>378</v>
      </c>
      <c r="P8" s="32">
        <f>E70</f>
        <v>411</v>
      </c>
    </row>
    <row r="9" spans="1:16" ht="14.7" thickBot="1" x14ac:dyDescent="0.6">
      <c r="A9" s="6"/>
      <c r="B9" s="7"/>
      <c r="I9" s="9"/>
      <c r="M9" s="28" t="s">
        <v>77</v>
      </c>
      <c r="N9" s="32">
        <f>E22</f>
        <v>54</v>
      </c>
      <c r="O9" s="32">
        <f>E38</f>
        <v>25</v>
      </c>
      <c r="P9" s="32">
        <f>E69</f>
        <v>32</v>
      </c>
    </row>
    <row r="10" spans="1:16" x14ac:dyDescent="0.55000000000000004">
      <c r="A10" s="10" t="s">
        <v>6</v>
      </c>
      <c r="B10" t="s">
        <v>54</v>
      </c>
      <c r="C10" t="s">
        <v>11</v>
      </c>
      <c r="E10" t="s">
        <v>1</v>
      </c>
      <c r="G10" t="s">
        <v>22</v>
      </c>
      <c r="I10" s="5" t="s">
        <v>2</v>
      </c>
      <c r="M10" s="28" t="s">
        <v>80</v>
      </c>
      <c r="N10" s="32">
        <f>E24</f>
        <v>6</v>
      </c>
      <c r="O10" s="32">
        <f>E40</f>
        <v>4</v>
      </c>
      <c r="P10" s="32" t="s">
        <v>102</v>
      </c>
    </row>
    <row r="11" spans="1:16" x14ac:dyDescent="0.55000000000000004">
      <c r="A11" s="6" t="s">
        <v>7</v>
      </c>
      <c r="B11" s="1">
        <v>15700</v>
      </c>
      <c r="C11">
        <v>0</v>
      </c>
      <c r="E11">
        <v>170</v>
      </c>
      <c r="F11" s="8">
        <f>E11*B11</f>
        <v>2669000</v>
      </c>
      <c r="G11" s="25">
        <f>E11/70</f>
        <v>2.4285714285714284</v>
      </c>
      <c r="I11" s="9" t="s">
        <v>10</v>
      </c>
      <c r="M11" s="28" t="s">
        <v>81</v>
      </c>
      <c r="N11" s="33" t="s">
        <v>89</v>
      </c>
      <c r="O11" s="33" t="s">
        <v>89</v>
      </c>
      <c r="P11" s="33" t="s">
        <v>89</v>
      </c>
    </row>
    <row r="12" spans="1:16" x14ac:dyDescent="0.55000000000000004">
      <c r="A12" s="6" t="s">
        <v>8</v>
      </c>
      <c r="B12" s="1">
        <v>4290</v>
      </c>
      <c r="C12">
        <v>0</v>
      </c>
      <c r="E12">
        <v>0</v>
      </c>
      <c r="F12" s="8">
        <f>E12*B12</f>
        <v>0</v>
      </c>
      <c r="G12" s="25">
        <f>E12/60</f>
        <v>0</v>
      </c>
      <c r="I12" s="9" t="s">
        <v>56</v>
      </c>
      <c r="M12" s="28" t="s">
        <v>82</v>
      </c>
      <c r="N12" s="33" t="s">
        <v>100</v>
      </c>
      <c r="O12" s="33" t="s">
        <v>101</v>
      </c>
      <c r="P12" s="33" t="s">
        <v>102</v>
      </c>
    </row>
    <row r="13" spans="1:16" x14ac:dyDescent="0.55000000000000004">
      <c r="A13" s="6" t="s">
        <v>49</v>
      </c>
      <c r="B13" s="1">
        <v>2860</v>
      </c>
      <c r="C13">
        <v>2</v>
      </c>
      <c r="E13">
        <v>248</v>
      </c>
      <c r="F13" s="8">
        <f t="shared" ref="F13:F17" si="2">E13*B13</f>
        <v>709280</v>
      </c>
      <c r="G13" s="25">
        <f>IF(E17&gt;0,E13/E17,0)</f>
        <v>35.428571428571431</v>
      </c>
      <c r="I13" s="9" t="s">
        <v>10</v>
      </c>
      <c r="M13" s="28" t="s">
        <v>97</v>
      </c>
      <c r="N13" s="32">
        <v>2000</v>
      </c>
      <c r="O13" s="32">
        <v>1782</v>
      </c>
      <c r="P13" s="32">
        <f>E74</f>
        <v>2000</v>
      </c>
    </row>
    <row r="14" spans="1:16" ht="14.7" thickBot="1" x14ac:dyDescent="0.6">
      <c r="A14" s="6"/>
      <c r="B14" s="1"/>
      <c r="F14" s="8"/>
      <c r="I14" s="9"/>
      <c r="M14" s="28" t="s">
        <v>98</v>
      </c>
      <c r="N14" s="33">
        <v>29</v>
      </c>
      <c r="O14" s="33">
        <v>51</v>
      </c>
      <c r="P14" s="33">
        <v>58</v>
      </c>
    </row>
    <row r="15" spans="1:16" x14ac:dyDescent="0.55000000000000004">
      <c r="A15" s="10" t="s">
        <v>51</v>
      </c>
      <c r="B15" s="4" t="s">
        <v>27</v>
      </c>
      <c r="E15" t="s">
        <v>37</v>
      </c>
      <c r="F15" s="8"/>
      <c r="I15" s="5" t="s">
        <v>2</v>
      </c>
      <c r="M15" s="28" t="s">
        <v>99</v>
      </c>
      <c r="N15" s="33">
        <v>19</v>
      </c>
      <c r="O15" s="33">
        <v>23</v>
      </c>
      <c r="P15" s="33">
        <v>43</v>
      </c>
    </row>
    <row r="16" spans="1:16" x14ac:dyDescent="0.55000000000000004">
      <c r="A16" s="6" t="s">
        <v>52</v>
      </c>
      <c r="B16" s="1">
        <v>85810</v>
      </c>
      <c r="E16">
        <v>3</v>
      </c>
      <c r="F16" s="8">
        <f t="shared" si="2"/>
        <v>257430</v>
      </c>
      <c r="I16" s="9" t="s">
        <v>10</v>
      </c>
    </row>
    <row r="17" spans="1:11" x14ac:dyDescent="0.55000000000000004">
      <c r="A17" s="6" t="s">
        <v>50</v>
      </c>
      <c r="B17" s="1">
        <v>42910</v>
      </c>
      <c r="E17">
        <v>7</v>
      </c>
      <c r="F17" s="8">
        <f t="shared" si="2"/>
        <v>300370</v>
      </c>
      <c r="I17" s="9" t="s">
        <v>10</v>
      </c>
    </row>
    <row r="18" spans="1:11" ht="14.7" thickBot="1" x14ac:dyDescent="0.6">
      <c r="A18" s="11"/>
      <c r="B18" s="13"/>
      <c r="C18" s="12"/>
      <c r="D18" s="12"/>
      <c r="E18" s="15" t="s">
        <v>19</v>
      </c>
      <c r="F18" s="16">
        <f>SUM(F5:F17)+G8*C8</f>
        <v>36454544</v>
      </c>
      <c r="G18" s="15" t="s">
        <v>20</v>
      </c>
      <c r="H18" s="15"/>
      <c r="I18" s="17">
        <f>F18/$L$1</f>
        <v>83.403391456992821</v>
      </c>
      <c r="K18" s="1"/>
    </row>
    <row r="19" spans="1:11" ht="14.7" thickBot="1" x14ac:dyDescent="0.6">
      <c r="G19" t="s">
        <v>47</v>
      </c>
      <c r="I19" s="21">
        <f>(E6*'Available Land_Plant Land Use'!$D$13+E7*'Available Land_Plant Land Use'!$D$14)/1000000</f>
        <v>1.767668448</v>
      </c>
      <c r="K19" s="2"/>
    </row>
    <row r="20" spans="1:11" ht="14.7" thickBot="1" x14ac:dyDescent="0.6">
      <c r="A20" s="3" t="s">
        <v>55</v>
      </c>
      <c r="I20" s="21"/>
      <c r="K20" s="2"/>
    </row>
    <row r="21" spans="1:11" x14ac:dyDescent="0.55000000000000004">
      <c r="A21" s="18" t="s">
        <v>23</v>
      </c>
      <c r="B21" s="4" t="s">
        <v>27</v>
      </c>
      <c r="C21" s="4" t="s">
        <v>28</v>
      </c>
      <c r="D21" s="4"/>
      <c r="E21" s="4" t="s">
        <v>37</v>
      </c>
      <c r="F21" s="4" t="s">
        <v>18</v>
      </c>
      <c r="G21" s="4" t="s">
        <v>32</v>
      </c>
      <c r="H21" s="4" t="s">
        <v>36</v>
      </c>
      <c r="I21" s="5" t="s">
        <v>2</v>
      </c>
    </row>
    <row r="22" spans="1:11" x14ac:dyDescent="0.55000000000000004">
      <c r="A22" s="6" t="s">
        <v>3</v>
      </c>
      <c r="B22" s="14">
        <v>116276</v>
      </c>
      <c r="E22">
        <v>54</v>
      </c>
      <c r="F22" s="8">
        <f>E22*B22</f>
        <v>6278904</v>
      </c>
      <c r="G22">
        <v>199924</v>
      </c>
      <c r="H22" s="19">
        <f t="shared" ref="H22:H24" si="3">G22/(E22*8760)</f>
        <v>0.42263656350414341</v>
      </c>
      <c r="I22" s="9" t="s">
        <v>10</v>
      </c>
    </row>
    <row r="23" spans="1:11" x14ac:dyDescent="0.55000000000000004">
      <c r="A23" s="6" t="s">
        <v>4</v>
      </c>
      <c r="B23" s="14">
        <v>75772</v>
      </c>
      <c r="E23">
        <v>301</v>
      </c>
      <c r="F23" s="8">
        <f>E23*B23</f>
        <v>22807372</v>
      </c>
      <c r="G23">
        <v>259265</v>
      </c>
      <c r="H23" s="19">
        <f t="shared" si="3"/>
        <v>9.8327113578786082E-2</v>
      </c>
      <c r="I23" s="9" t="s">
        <v>10</v>
      </c>
    </row>
    <row r="24" spans="1:11" x14ac:dyDescent="0.55000000000000004">
      <c r="A24" s="6" t="s">
        <v>5</v>
      </c>
      <c r="B24" s="7">
        <v>291720</v>
      </c>
      <c r="E24">
        <v>6</v>
      </c>
      <c r="F24" s="8">
        <f>E24*B24</f>
        <v>1750320</v>
      </c>
      <c r="G24">
        <v>8965</v>
      </c>
      <c r="H24" s="19">
        <f t="shared" si="3"/>
        <v>0.1705669710806697</v>
      </c>
      <c r="I24" s="9" t="s">
        <v>10</v>
      </c>
    </row>
    <row r="25" spans="1:11" ht="14.7" thickBot="1" x14ac:dyDescent="0.6">
      <c r="A25" s="6"/>
      <c r="B25" s="7"/>
      <c r="H25" s="19"/>
      <c r="I25" s="9"/>
    </row>
    <row r="26" spans="1:11" x14ac:dyDescent="0.55000000000000004">
      <c r="A26" s="10" t="s">
        <v>6</v>
      </c>
      <c r="B26" t="s">
        <v>54</v>
      </c>
      <c r="C26" t="s">
        <v>11</v>
      </c>
      <c r="E26" t="s">
        <v>1</v>
      </c>
      <c r="G26" t="s">
        <v>22</v>
      </c>
      <c r="I26" s="5" t="s">
        <v>2</v>
      </c>
    </row>
    <row r="27" spans="1:11" x14ac:dyDescent="0.55000000000000004">
      <c r="A27" s="6" t="s">
        <v>7</v>
      </c>
      <c r="B27" s="1">
        <v>15700</v>
      </c>
      <c r="C27">
        <v>43</v>
      </c>
      <c r="E27">
        <v>420</v>
      </c>
      <c r="F27" s="8">
        <f>E27*B27</f>
        <v>6594000</v>
      </c>
      <c r="G27">
        <f>E27/70</f>
        <v>6</v>
      </c>
      <c r="I27" s="9" t="s">
        <v>9</v>
      </c>
    </row>
    <row r="28" spans="1:11" x14ac:dyDescent="0.55000000000000004">
      <c r="A28" s="6" t="s">
        <v>8</v>
      </c>
      <c r="B28" s="1">
        <v>4290</v>
      </c>
      <c r="C28">
        <v>73</v>
      </c>
      <c r="E28">
        <v>1014</v>
      </c>
      <c r="F28" s="8">
        <f>E28*B28</f>
        <v>4350060</v>
      </c>
      <c r="G28" s="25">
        <f>E28/70</f>
        <v>14.485714285714286</v>
      </c>
      <c r="I28" s="9" t="s">
        <v>10</v>
      </c>
    </row>
    <row r="29" spans="1:11" x14ac:dyDescent="0.55000000000000004">
      <c r="A29" s="6" t="s">
        <v>49</v>
      </c>
      <c r="B29" s="1">
        <v>2860</v>
      </c>
      <c r="C29">
        <v>0</v>
      </c>
      <c r="E29">
        <v>2000</v>
      </c>
      <c r="F29" s="8">
        <f t="shared" ref="F29:F33" si="4">E29*B29</f>
        <v>5720000</v>
      </c>
      <c r="G29" s="25">
        <f>IF(E33&gt;0,E29/E33,0)</f>
        <v>105.26315789473684</v>
      </c>
      <c r="I29" s="9" t="s">
        <v>9</v>
      </c>
    </row>
    <row r="30" spans="1:11" ht="14.7" thickBot="1" x14ac:dyDescent="0.6">
      <c r="A30" s="6"/>
      <c r="B30" s="1"/>
      <c r="F30" s="8"/>
      <c r="I30" s="9"/>
    </row>
    <row r="31" spans="1:11" x14ac:dyDescent="0.55000000000000004">
      <c r="A31" s="10" t="s">
        <v>51</v>
      </c>
      <c r="B31" s="4" t="s">
        <v>27</v>
      </c>
      <c r="E31" t="s">
        <v>37</v>
      </c>
      <c r="F31" s="8"/>
      <c r="I31" s="5" t="s">
        <v>2</v>
      </c>
    </row>
    <row r="32" spans="1:11" x14ac:dyDescent="0.55000000000000004">
      <c r="A32" s="6" t="s">
        <v>52</v>
      </c>
      <c r="B32" s="1">
        <v>85810</v>
      </c>
      <c r="E32">
        <v>29</v>
      </c>
      <c r="F32" s="8">
        <f t="shared" si="4"/>
        <v>2488490</v>
      </c>
      <c r="I32" s="9" t="s">
        <v>10</v>
      </c>
    </row>
    <row r="33" spans="1:9" ht="15.3" customHeight="1" x14ac:dyDescent="0.55000000000000004">
      <c r="A33" s="6" t="s">
        <v>50</v>
      </c>
      <c r="B33" s="1">
        <v>42910</v>
      </c>
      <c r="E33">
        <v>19</v>
      </c>
      <c r="F33" s="8">
        <f t="shared" si="4"/>
        <v>815290</v>
      </c>
      <c r="I33" s="9" t="s">
        <v>10</v>
      </c>
    </row>
    <row r="34" spans="1:9" ht="14.7" thickBot="1" x14ac:dyDescent="0.6">
      <c r="A34" s="11"/>
      <c r="B34" s="13"/>
      <c r="C34" s="12"/>
      <c r="D34" s="12"/>
      <c r="E34" s="15" t="s">
        <v>19</v>
      </c>
      <c r="F34" s="16">
        <f>SUM(F22:F33)</f>
        <v>50804436</v>
      </c>
      <c r="G34" s="15" t="s">
        <v>20</v>
      </c>
      <c r="H34" s="15"/>
      <c r="I34" s="17">
        <f>F34/$L$1</f>
        <v>116.23413156559408</v>
      </c>
    </row>
    <row r="35" spans="1:9" ht="14.7" thickBot="1" x14ac:dyDescent="0.6">
      <c r="G35" t="s">
        <v>47</v>
      </c>
      <c r="I35" s="21">
        <f>(E23*'Available Land_Plant Land Use'!$D$13+E24*'Available Land_Plant Land Use'!$D$14)/1000000</f>
        <v>5.2738679520000007</v>
      </c>
    </row>
    <row r="36" spans="1:9" ht="14.7" thickBot="1" x14ac:dyDescent="0.6">
      <c r="A36" s="3" t="s">
        <v>57</v>
      </c>
      <c r="I36" s="21"/>
    </row>
    <row r="37" spans="1:9" x14ac:dyDescent="0.55000000000000004">
      <c r="A37" s="18" t="s">
        <v>23</v>
      </c>
      <c r="B37" s="4" t="s">
        <v>27</v>
      </c>
      <c r="C37" s="4" t="s">
        <v>28</v>
      </c>
      <c r="D37" s="4"/>
      <c r="E37" s="4" t="s">
        <v>37</v>
      </c>
      <c r="F37" s="4" t="s">
        <v>18</v>
      </c>
      <c r="G37" s="4" t="s">
        <v>32</v>
      </c>
      <c r="H37" s="4" t="s">
        <v>36</v>
      </c>
      <c r="I37" s="5" t="s">
        <v>2</v>
      </c>
    </row>
    <row r="38" spans="1:9" x14ac:dyDescent="0.55000000000000004">
      <c r="A38" s="6" t="s">
        <v>3</v>
      </c>
      <c r="B38" s="14">
        <v>116276</v>
      </c>
      <c r="E38">
        <v>25</v>
      </c>
      <c r="F38" s="8">
        <f>E38*B38</f>
        <v>2906900</v>
      </c>
      <c r="G38">
        <v>89090</v>
      </c>
      <c r="H38" s="19">
        <f t="shared" ref="H38:H40" si="5">G38/(E38*8760)</f>
        <v>0.40680365296803656</v>
      </c>
      <c r="I38" s="9" t="s">
        <v>9</v>
      </c>
    </row>
    <row r="39" spans="1:9" x14ac:dyDescent="0.55000000000000004">
      <c r="A39" s="6" t="s">
        <v>4</v>
      </c>
      <c r="B39" s="14">
        <v>75772</v>
      </c>
      <c r="E39">
        <v>378</v>
      </c>
      <c r="F39" s="8">
        <f>E39*B39</f>
        <v>28641816</v>
      </c>
      <c r="G39">
        <v>400518</v>
      </c>
      <c r="H39" s="19">
        <f t="shared" si="5"/>
        <v>0.12095564253098499</v>
      </c>
      <c r="I39" s="9" t="s">
        <v>10</v>
      </c>
    </row>
    <row r="40" spans="1:9" x14ac:dyDescent="0.55000000000000004">
      <c r="A40" s="6" t="s">
        <v>5</v>
      </c>
      <c r="B40" s="7">
        <v>291720</v>
      </c>
      <c r="E40">
        <v>4</v>
      </c>
      <c r="F40" s="8">
        <f>E40*B40</f>
        <v>1166880</v>
      </c>
      <c r="G40">
        <v>6540</v>
      </c>
      <c r="H40" s="19">
        <f t="shared" si="5"/>
        <v>0.18664383561643835</v>
      </c>
      <c r="I40" s="9" t="s">
        <v>10</v>
      </c>
    </row>
    <row r="41" spans="1:9" ht="14.7" thickBot="1" x14ac:dyDescent="0.6">
      <c r="A41" s="6"/>
      <c r="B41" s="7"/>
      <c r="I41" s="9"/>
    </row>
    <row r="42" spans="1:9" x14ac:dyDescent="0.55000000000000004">
      <c r="A42" s="10" t="s">
        <v>6</v>
      </c>
      <c r="B42" t="s">
        <v>54</v>
      </c>
      <c r="C42" t="s">
        <v>11</v>
      </c>
      <c r="E42" t="s">
        <v>1</v>
      </c>
      <c r="G42" t="s">
        <v>22</v>
      </c>
      <c r="I42" s="5" t="s">
        <v>2</v>
      </c>
    </row>
    <row r="43" spans="1:9" x14ac:dyDescent="0.55000000000000004">
      <c r="A43" s="6" t="s">
        <v>7</v>
      </c>
      <c r="B43" s="1">
        <v>15700</v>
      </c>
      <c r="C43">
        <v>129</v>
      </c>
      <c r="E43">
        <v>420</v>
      </c>
      <c r="F43" s="8">
        <f>E43*B43</f>
        <v>6594000</v>
      </c>
      <c r="G43">
        <f>E43/70</f>
        <v>6</v>
      </c>
      <c r="I43" s="9" t="s">
        <v>9</v>
      </c>
    </row>
    <row r="44" spans="1:9" x14ac:dyDescent="0.55000000000000004">
      <c r="A44" s="6" t="s">
        <v>8</v>
      </c>
      <c r="B44" s="1">
        <v>4290</v>
      </c>
      <c r="C44">
        <v>77</v>
      </c>
      <c r="E44">
        <v>823</v>
      </c>
      <c r="F44" s="8">
        <f>E44*B44</f>
        <v>3530670</v>
      </c>
      <c r="G44" s="25">
        <f>E44/70</f>
        <v>11.757142857142858</v>
      </c>
      <c r="I44" s="9" t="s">
        <v>10</v>
      </c>
    </row>
    <row r="45" spans="1:9" x14ac:dyDescent="0.55000000000000004">
      <c r="A45" s="6" t="s">
        <v>49</v>
      </c>
      <c r="B45" s="1">
        <v>2860</v>
      </c>
      <c r="C45">
        <v>58</v>
      </c>
      <c r="E45">
        <v>1782</v>
      </c>
      <c r="F45" s="8">
        <f>E45*B45</f>
        <v>5096520</v>
      </c>
      <c r="G45" s="25">
        <f>IF(E49&gt;0,E45/E49,0)</f>
        <v>77.478260869565219</v>
      </c>
      <c r="I45" s="9" t="s">
        <v>10</v>
      </c>
    </row>
    <row r="46" spans="1:9" ht="14.7" thickBot="1" x14ac:dyDescent="0.6">
      <c r="A46" s="6"/>
      <c r="B46" s="1"/>
      <c r="F46" s="8"/>
      <c r="I46" s="9"/>
    </row>
    <row r="47" spans="1:9" x14ac:dyDescent="0.55000000000000004">
      <c r="A47" s="10" t="s">
        <v>51</v>
      </c>
      <c r="B47" s="4" t="s">
        <v>27</v>
      </c>
      <c r="E47" t="s">
        <v>37</v>
      </c>
      <c r="F47" s="8"/>
      <c r="I47" s="5" t="s">
        <v>2</v>
      </c>
    </row>
    <row r="48" spans="1:9" x14ac:dyDescent="0.55000000000000004">
      <c r="A48" s="6" t="s">
        <v>52</v>
      </c>
      <c r="B48" s="1">
        <v>85810</v>
      </c>
      <c r="E48">
        <v>51</v>
      </c>
      <c r="F48" s="8">
        <f>E48*B48</f>
        <v>4376310</v>
      </c>
      <c r="I48" s="9" t="s">
        <v>10</v>
      </c>
    </row>
    <row r="49" spans="1:9" x14ac:dyDescent="0.55000000000000004">
      <c r="A49" s="6" t="s">
        <v>50</v>
      </c>
      <c r="B49" s="1">
        <v>42910</v>
      </c>
      <c r="E49">
        <v>23</v>
      </c>
      <c r="F49" s="8">
        <f>E49*B49</f>
        <v>986930</v>
      </c>
      <c r="I49" s="9" t="s">
        <v>10</v>
      </c>
    </row>
    <row r="50" spans="1:9" ht="14.7" thickBot="1" x14ac:dyDescent="0.6">
      <c r="A50" s="11"/>
      <c r="B50" s="13"/>
      <c r="C50" s="12"/>
      <c r="D50" s="12"/>
      <c r="E50" s="15" t="s">
        <v>19</v>
      </c>
      <c r="F50" s="16">
        <f>SUM(F38:F49)</f>
        <v>53300026</v>
      </c>
      <c r="G50" s="15" t="s">
        <v>20</v>
      </c>
      <c r="H50" s="15"/>
      <c r="I50" s="17">
        <f>F50/$L$1</f>
        <v>121.94372622370192</v>
      </c>
    </row>
    <row r="51" spans="1:9" ht="14.7" thickBot="1" x14ac:dyDescent="0.6">
      <c r="G51" t="s">
        <v>47</v>
      </c>
      <c r="I51" s="21">
        <f>(E39*'Available Land_Plant Land Use'!$D$13+E40*'Available Land_Plant Land Use'!$D$14)/1000000</f>
        <v>6.5300132960000008</v>
      </c>
    </row>
    <row r="52" spans="1:9" ht="14.7" thickBot="1" x14ac:dyDescent="0.6">
      <c r="A52" s="3" t="s">
        <v>58</v>
      </c>
      <c r="I52" s="21"/>
    </row>
    <row r="53" spans="1:9" x14ac:dyDescent="0.55000000000000004">
      <c r="A53" s="18" t="s">
        <v>23</v>
      </c>
      <c r="B53" s="4" t="s">
        <v>27</v>
      </c>
      <c r="C53" s="4" t="s">
        <v>28</v>
      </c>
      <c r="D53" s="4"/>
      <c r="E53" s="4" t="s">
        <v>37</v>
      </c>
      <c r="F53" s="4" t="s">
        <v>18</v>
      </c>
      <c r="G53" s="4" t="s">
        <v>32</v>
      </c>
      <c r="H53" s="4" t="s">
        <v>36</v>
      </c>
      <c r="I53" s="5" t="s">
        <v>2</v>
      </c>
    </row>
    <row r="54" spans="1:9" x14ac:dyDescent="0.55000000000000004">
      <c r="A54" s="6" t="s">
        <v>3</v>
      </c>
      <c r="B54" s="14">
        <v>116276</v>
      </c>
      <c r="E54">
        <v>25</v>
      </c>
      <c r="F54" s="8">
        <f>E54*B54</f>
        <v>2906900</v>
      </c>
      <c r="G54">
        <v>84766</v>
      </c>
      <c r="H54" s="19">
        <f t="shared" ref="H54:H56" si="6">G54/(E54*8760)</f>
        <v>0.3870593607305936</v>
      </c>
      <c r="I54" s="9" t="s">
        <v>10</v>
      </c>
    </row>
    <row r="55" spans="1:9" x14ac:dyDescent="0.55000000000000004">
      <c r="A55" s="6" t="s">
        <v>4</v>
      </c>
      <c r="B55" s="14">
        <v>75772</v>
      </c>
      <c r="E55">
        <v>490</v>
      </c>
      <c r="F55" s="8">
        <f>E55*B55</f>
        <v>37128280</v>
      </c>
      <c r="G55">
        <v>534537</v>
      </c>
      <c r="H55" s="19">
        <f t="shared" si="6"/>
        <v>0.12453103159071847</v>
      </c>
      <c r="I55" s="9" t="s">
        <v>9</v>
      </c>
    </row>
    <row r="56" spans="1:9" x14ac:dyDescent="0.55000000000000004">
      <c r="A56" s="6" t="s">
        <v>5</v>
      </c>
      <c r="B56" s="7">
        <v>291720</v>
      </c>
      <c r="E56">
        <v>10</v>
      </c>
      <c r="F56" s="8">
        <f>E56*B56</f>
        <v>2917200</v>
      </c>
      <c r="G56">
        <v>16408</v>
      </c>
      <c r="H56" s="19">
        <f t="shared" si="6"/>
        <v>0.18730593607305937</v>
      </c>
      <c r="I56" s="9" t="s">
        <v>10</v>
      </c>
    </row>
    <row r="57" spans="1:9" ht="14.7" thickBot="1" x14ac:dyDescent="0.6">
      <c r="A57" s="6"/>
      <c r="B57" s="7"/>
      <c r="I57" s="9"/>
    </row>
    <row r="58" spans="1:9" x14ac:dyDescent="0.55000000000000004">
      <c r="A58" s="10" t="s">
        <v>6</v>
      </c>
      <c r="B58" t="s">
        <v>54</v>
      </c>
      <c r="C58" t="s">
        <v>11</v>
      </c>
      <c r="E58" t="s">
        <v>1</v>
      </c>
      <c r="G58" t="s">
        <v>22</v>
      </c>
      <c r="I58" s="5" t="s">
        <v>2</v>
      </c>
    </row>
    <row r="59" spans="1:9" x14ac:dyDescent="0.55000000000000004">
      <c r="A59" s="6" t="s">
        <v>8</v>
      </c>
      <c r="B59" s="1">
        <v>4290</v>
      </c>
      <c r="C59">
        <v>107</v>
      </c>
      <c r="E59">
        <v>1087</v>
      </c>
      <c r="F59" s="8">
        <f>E59*B59</f>
        <v>4663230</v>
      </c>
      <c r="G59" s="25">
        <f>E59/70</f>
        <v>15.528571428571428</v>
      </c>
      <c r="I59" s="9" t="s">
        <v>10</v>
      </c>
    </row>
    <row r="60" spans="1:9" x14ac:dyDescent="0.55000000000000004">
      <c r="A60" s="6" t="s">
        <v>49</v>
      </c>
      <c r="B60" s="1">
        <v>2860</v>
      </c>
      <c r="C60">
        <v>251</v>
      </c>
      <c r="E60">
        <v>2000</v>
      </c>
      <c r="F60" s="8">
        <f>E60*B60</f>
        <v>5720000</v>
      </c>
      <c r="G60" s="25">
        <f>IF(E64&gt;0,E60/E64,0)</f>
        <v>27.027027027027028</v>
      </c>
      <c r="I60" s="9" t="s">
        <v>9</v>
      </c>
    </row>
    <row r="61" spans="1:9" ht="14.7" thickBot="1" x14ac:dyDescent="0.6">
      <c r="A61" s="6"/>
      <c r="B61" s="1"/>
      <c r="F61" s="8"/>
      <c r="I61" s="9"/>
    </row>
    <row r="62" spans="1:9" x14ac:dyDescent="0.55000000000000004">
      <c r="A62" s="10" t="s">
        <v>51</v>
      </c>
      <c r="B62" s="4" t="s">
        <v>27</v>
      </c>
      <c r="E62" t="s">
        <v>37</v>
      </c>
      <c r="F62" s="8"/>
      <c r="I62" s="5" t="s">
        <v>2</v>
      </c>
    </row>
    <row r="63" spans="1:9" x14ac:dyDescent="0.55000000000000004">
      <c r="A63" s="6" t="s">
        <v>52</v>
      </c>
      <c r="B63" s="1">
        <v>85810</v>
      </c>
      <c r="E63">
        <v>175</v>
      </c>
      <c r="F63" s="8">
        <f>E63*B63</f>
        <v>15016750</v>
      </c>
      <c r="I63" s="9" t="s">
        <v>10</v>
      </c>
    </row>
    <row r="64" spans="1:9" x14ac:dyDescent="0.55000000000000004">
      <c r="A64" s="6" t="s">
        <v>50</v>
      </c>
      <c r="B64" s="1">
        <v>42910</v>
      </c>
      <c r="E64">
        <v>74</v>
      </c>
      <c r="F64" s="8">
        <f>E64*B64</f>
        <v>3175340</v>
      </c>
      <c r="I64" s="9" t="s">
        <v>10</v>
      </c>
    </row>
    <row r="65" spans="1:9" ht="14.7" thickBot="1" x14ac:dyDescent="0.6">
      <c r="A65" s="11"/>
      <c r="B65" s="13"/>
      <c r="C65" s="12"/>
      <c r="D65" s="12"/>
      <c r="E65" s="15" t="s">
        <v>19</v>
      </c>
      <c r="F65" s="16">
        <f>SUM(F54:F64)</f>
        <v>71527700</v>
      </c>
      <c r="G65" s="15" t="s">
        <v>20</v>
      </c>
      <c r="H65" s="15"/>
      <c r="I65" s="17">
        <f>F65/$L$1</f>
        <v>163.64634167741463</v>
      </c>
    </row>
    <row r="66" spans="1:9" ht="14.7" thickBot="1" x14ac:dyDescent="0.6">
      <c r="G66" t="s">
        <v>47</v>
      </c>
      <c r="I66" s="21">
        <f>(E55*'Available Land_Plant Land Use'!$D$13+E56*'Available Land_Plant Land Use'!$D$14)/1000000</f>
        <v>8.5914837800000008</v>
      </c>
    </row>
    <row r="67" spans="1:9" ht="14.7" thickBot="1" x14ac:dyDescent="0.6">
      <c r="A67" s="3" t="s">
        <v>15</v>
      </c>
      <c r="I67" s="21"/>
    </row>
    <row r="68" spans="1:9" x14ac:dyDescent="0.55000000000000004">
      <c r="A68" s="18" t="s">
        <v>23</v>
      </c>
      <c r="B68" s="4" t="s">
        <v>27</v>
      </c>
      <c r="C68" s="4" t="s">
        <v>28</v>
      </c>
      <c r="D68" s="4"/>
      <c r="E68" s="4" t="s">
        <v>37</v>
      </c>
      <c r="F68" s="4" t="s">
        <v>18</v>
      </c>
      <c r="G68" s="4" t="s">
        <v>32</v>
      </c>
      <c r="H68" s="4" t="s">
        <v>36</v>
      </c>
      <c r="I68" s="5" t="s">
        <v>2</v>
      </c>
    </row>
    <row r="69" spans="1:9" x14ac:dyDescent="0.55000000000000004">
      <c r="A69" s="6" t="s">
        <v>3</v>
      </c>
      <c r="B69" s="14">
        <v>116276</v>
      </c>
      <c r="E69">
        <v>32</v>
      </c>
      <c r="F69" s="8">
        <f>E69*B69</f>
        <v>3720832</v>
      </c>
      <c r="G69">
        <v>117086</v>
      </c>
      <c r="H69" s="19">
        <f t="shared" ref="H69:H70" si="7">G69/(E69*8760)</f>
        <v>0.41768692922374429</v>
      </c>
      <c r="I69" s="9" t="s">
        <v>10</v>
      </c>
    </row>
    <row r="70" spans="1:9" x14ac:dyDescent="0.55000000000000004">
      <c r="A70" s="6" t="s">
        <v>4</v>
      </c>
      <c r="B70" s="14">
        <v>75772</v>
      </c>
      <c r="E70">
        <v>411</v>
      </c>
      <c r="F70" s="8">
        <f>E70*B70</f>
        <v>31142292</v>
      </c>
      <c r="G70">
        <v>370898</v>
      </c>
      <c r="H70" s="19">
        <f t="shared" si="7"/>
        <v>0.10301692053016921</v>
      </c>
      <c r="I70" s="9" t="s">
        <v>9</v>
      </c>
    </row>
    <row r="71" spans="1:9" ht="14.7" thickBot="1" x14ac:dyDescent="0.6">
      <c r="A71" s="6"/>
      <c r="B71" s="7"/>
      <c r="H71" s="19"/>
      <c r="I71" s="9"/>
    </row>
    <row r="72" spans="1:9" x14ac:dyDescent="0.55000000000000004">
      <c r="A72" s="10" t="s">
        <v>6</v>
      </c>
      <c r="B72" t="s">
        <v>54</v>
      </c>
      <c r="C72" t="s">
        <v>11</v>
      </c>
      <c r="E72" t="s">
        <v>1</v>
      </c>
      <c r="G72" t="s">
        <v>22</v>
      </c>
      <c r="I72" s="5" t="s">
        <v>2</v>
      </c>
    </row>
    <row r="73" spans="1:9" x14ac:dyDescent="0.55000000000000004">
      <c r="A73" s="6" t="s">
        <v>7</v>
      </c>
      <c r="B73" s="1">
        <v>15700</v>
      </c>
      <c r="C73">
        <v>132</v>
      </c>
      <c r="E73">
        <v>420</v>
      </c>
      <c r="F73" s="8">
        <f>E73*B73</f>
        <v>6594000</v>
      </c>
      <c r="G73" s="25">
        <f>E73/70</f>
        <v>6</v>
      </c>
      <c r="I73" s="9" t="s">
        <v>9</v>
      </c>
    </row>
    <row r="74" spans="1:9" x14ac:dyDescent="0.55000000000000004">
      <c r="A74" s="6" t="s">
        <v>49</v>
      </c>
      <c r="B74" s="1">
        <v>2860</v>
      </c>
      <c r="C74">
        <v>0</v>
      </c>
      <c r="E74">
        <v>2000</v>
      </c>
      <c r="F74" s="8">
        <f t="shared" ref="F74" si="8">E74*B74</f>
        <v>5720000</v>
      </c>
      <c r="G74" s="25">
        <f>IF(E78&gt;0,E74/E78,0)</f>
        <v>46.511627906976742</v>
      </c>
      <c r="I74" s="9" t="s">
        <v>9</v>
      </c>
    </row>
    <row r="75" spans="1:9" ht="14.7" thickBot="1" x14ac:dyDescent="0.6">
      <c r="A75" s="6"/>
      <c r="B75" s="1"/>
      <c r="F75" s="8"/>
      <c r="I75" s="9"/>
    </row>
    <row r="76" spans="1:9" x14ac:dyDescent="0.55000000000000004">
      <c r="A76" s="10" t="s">
        <v>51</v>
      </c>
      <c r="B76" s="4" t="s">
        <v>27</v>
      </c>
      <c r="E76" t="s">
        <v>37</v>
      </c>
      <c r="F76" s="8"/>
      <c r="I76" s="5" t="s">
        <v>2</v>
      </c>
    </row>
    <row r="77" spans="1:9" x14ac:dyDescent="0.55000000000000004">
      <c r="A77" s="6" t="s">
        <v>52</v>
      </c>
      <c r="B77" s="1">
        <v>85810</v>
      </c>
      <c r="E77">
        <v>58</v>
      </c>
      <c r="F77" s="8">
        <f t="shared" ref="F77:F78" si="9">E77*B77</f>
        <v>4976980</v>
      </c>
      <c r="I77" s="9" t="s">
        <v>10</v>
      </c>
    </row>
    <row r="78" spans="1:9" x14ac:dyDescent="0.55000000000000004">
      <c r="A78" s="6" t="s">
        <v>50</v>
      </c>
      <c r="B78" s="1">
        <v>42910</v>
      </c>
      <c r="E78">
        <v>43</v>
      </c>
      <c r="F78" s="8">
        <f t="shared" si="9"/>
        <v>1845130</v>
      </c>
      <c r="I78" s="9" t="s">
        <v>10</v>
      </c>
    </row>
    <row r="79" spans="1:9" ht="14.7" thickBot="1" x14ac:dyDescent="0.6">
      <c r="A79" s="11"/>
      <c r="B79" s="13"/>
      <c r="C79" s="12"/>
      <c r="D79" s="12"/>
      <c r="E79" s="15" t="s">
        <v>19</v>
      </c>
      <c r="F79" s="16">
        <f>SUM(F69:F78)</f>
        <v>53999234</v>
      </c>
      <c r="G79" s="15" t="s">
        <v>20</v>
      </c>
      <c r="H79" s="15"/>
      <c r="I79" s="17">
        <f>F79/$L$1</f>
        <v>123.54342579843424</v>
      </c>
    </row>
    <row r="80" spans="1:9" ht="14.7" thickBot="1" x14ac:dyDescent="0.6">
      <c r="G80" t="s">
        <v>47</v>
      </c>
      <c r="I80" s="21">
        <f>(E70*'Available Land_Plant Land Use'!$D$13)/1000000</f>
        <v>6.9856897320000009</v>
      </c>
    </row>
    <row r="81" spans="1:9" ht="14.7" thickBot="1" x14ac:dyDescent="0.6">
      <c r="A81" s="3" t="s">
        <v>59</v>
      </c>
      <c r="I81" s="21"/>
    </row>
    <row r="82" spans="1:9" x14ac:dyDescent="0.55000000000000004">
      <c r="A82" s="18" t="s">
        <v>23</v>
      </c>
      <c r="B82" s="4" t="s">
        <v>27</v>
      </c>
      <c r="C82" s="4" t="s">
        <v>28</v>
      </c>
      <c r="D82" s="4"/>
      <c r="E82" s="4" t="s">
        <v>37</v>
      </c>
      <c r="F82" s="4" t="s">
        <v>18</v>
      </c>
      <c r="G82" s="4" t="s">
        <v>32</v>
      </c>
      <c r="H82" s="4" t="s">
        <v>36</v>
      </c>
      <c r="I82" s="5" t="s">
        <v>2</v>
      </c>
    </row>
    <row r="83" spans="1:9" x14ac:dyDescent="0.55000000000000004">
      <c r="A83" s="6" t="s">
        <v>3</v>
      </c>
      <c r="B83" s="14">
        <v>116276</v>
      </c>
      <c r="E83">
        <v>50</v>
      </c>
      <c r="F83" s="8">
        <f>E83*B83</f>
        <v>5813800</v>
      </c>
      <c r="G83">
        <v>185968</v>
      </c>
      <c r="H83" s="19">
        <f t="shared" ref="H83:H85" si="10">G83/(E83*8760)</f>
        <v>0.42458447488584478</v>
      </c>
      <c r="I83" s="9" t="s">
        <v>10</v>
      </c>
    </row>
    <row r="84" spans="1:9" x14ac:dyDescent="0.55000000000000004">
      <c r="A84" s="6" t="s">
        <v>4</v>
      </c>
      <c r="B84" s="14">
        <v>75772</v>
      </c>
      <c r="E84">
        <v>312</v>
      </c>
      <c r="F84" s="8">
        <f>E84*B84</f>
        <v>23640864</v>
      </c>
      <c r="G84">
        <v>276834</v>
      </c>
      <c r="H84" s="19">
        <f t="shared" si="10"/>
        <v>0.10128863716192484</v>
      </c>
      <c r="I84" s="9" t="s">
        <v>10</v>
      </c>
    </row>
    <row r="85" spans="1:9" x14ac:dyDescent="0.55000000000000004">
      <c r="A85" s="6" t="s">
        <v>5</v>
      </c>
      <c r="B85" s="7">
        <v>291720</v>
      </c>
      <c r="E85">
        <v>5</v>
      </c>
      <c r="F85" s="8">
        <f>E85*B85</f>
        <v>1458600</v>
      </c>
      <c r="G85">
        <v>7766</v>
      </c>
      <c r="H85" s="19">
        <f t="shared" si="10"/>
        <v>0.17730593607305936</v>
      </c>
      <c r="I85" s="9" t="s">
        <v>10</v>
      </c>
    </row>
    <row r="86" spans="1:9" ht="14.7" thickBot="1" x14ac:dyDescent="0.6">
      <c r="A86" s="6"/>
      <c r="B86" s="7"/>
      <c r="H86" s="19"/>
      <c r="I86" s="9"/>
    </row>
    <row r="87" spans="1:9" x14ac:dyDescent="0.55000000000000004">
      <c r="A87" s="10" t="s">
        <v>6</v>
      </c>
      <c r="B87" t="s">
        <v>54</v>
      </c>
      <c r="C87" t="s">
        <v>11</v>
      </c>
      <c r="E87" t="s">
        <v>1</v>
      </c>
      <c r="G87" t="s">
        <v>22</v>
      </c>
      <c r="I87" s="5" t="s">
        <v>2</v>
      </c>
    </row>
    <row r="88" spans="1:9" x14ac:dyDescent="0.55000000000000004">
      <c r="A88" s="6" t="s">
        <v>7</v>
      </c>
      <c r="B88" s="1">
        <v>15700</v>
      </c>
      <c r="C88">
        <v>59</v>
      </c>
      <c r="E88">
        <v>488</v>
      </c>
      <c r="F88" s="8">
        <f>E88*B88</f>
        <v>7661600</v>
      </c>
      <c r="G88" s="25">
        <f>E88/70</f>
        <v>6.9714285714285715</v>
      </c>
      <c r="I88" s="9" t="s">
        <v>9</v>
      </c>
    </row>
    <row r="89" spans="1:9" x14ac:dyDescent="0.55000000000000004">
      <c r="A89" s="6" t="s">
        <v>8</v>
      </c>
      <c r="B89" s="1">
        <v>4290</v>
      </c>
      <c r="C89">
        <v>316</v>
      </c>
      <c r="E89">
        <v>893</v>
      </c>
      <c r="F89" s="8">
        <f>E89*B89</f>
        <v>3830970</v>
      </c>
      <c r="G89" s="25">
        <f>E89/70</f>
        <v>12.757142857142858</v>
      </c>
      <c r="I89" s="9" t="s">
        <v>10</v>
      </c>
    </row>
    <row r="90" spans="1:9" x14ac:dyDescent="0.55000000000000004">
      <c r="A90" s="6" t="s">
        <v>49</v>
      </c>
      <c r="B90" s="1">
        <v>2860</v>
      </c>
      <c r="C90">
        <v>16</v>
      </c>
      <c r="E90">
        <v>1806</v>
      </c>
      <c r="F90" s="8">
        <f t="shared" ref="F90" si="11">E90*B90</f>
        <v>5165160</v>
      </c>
      <c r="G90" s="25">
        <f>IF(E94&gt;0,E90/E94,0)</f>
        <v>112.875</v>
      </c>
      <c r="I90" s="9" t="s">
        <v>10</v>
      </c>
    </row>
    <row r="91" spans="1:9" ht="14.7" thickBot="1" x14ac:dyDescent="0.6">
      <c r="A91" s="6"/>
      <c r="B91" s="1"/>
      <c r="F91" s="8"/>
      <c r="I91" s="9"/>
    </row>
    <row r="92" spans="1:9" x14ac:dyDescent="0.55000000000000004">
      <c r="A92" s="10" t="s">
        <v>51</v>
      </c>
      <c r="B92" s="4" t="s">
        <v>27</v>
      </c>
      <c r="E92" t="s">
        <v>37</v>
      </c>
      <c r="F92" s="8"/>
      <c r="I92" s="5" t="s">
        <v>2</v>
      </c>
    </row>
    <row r="93" spans="1:9" x14ac:dyDescent="0.55000000000000004">
      <c r="A93" s="6" t="s">
        <v>52</v>
      </c>
      <c r="B93" s="1">
        <v>85810</v>
      </c>
      <c r="E93">
        <v>30</v>
      </c>
      <c r="F93" s="8">
        <f t="shared" ref="F93:F94" si="12">E93*B93</f>
        <v>2574300</v>
      </c>
      <c r="I93" s="9" t="s">
        <v>10</v>
      </c>
    </row>
    <row r="94" spans="1:9" x14ac:dyDescent="0.55000000000000004">
      <c r="A94" s="6" t="s">
        <v>50</v>
      </c>
      <c r="B94" s="1">
        <v>42910</v>
      </c>
      <c r="E94">
        <v>16</v>
      </c>
      <c r="F94" s="8">
        <f t="shared" si="12"/>
        <v>686560</v>
      </c>
      <c r="I94" s="9" t="s">
        <v>10</v>
      </c>
    </row>
    <row r="95" spans="1:9" ht="14.7" thickBot="1" x14ac:dyDescent="0.6">
      <c r="A95" s="11"/>
      <c r="B95" s="13"/>
      <c r="C95" s="12"/>
      <c r="D95" s="12"/>
      <c r="E95" s="15" t="s">
        <v>19</v>
      </c>
      <c r="F95" s="16">
        <f>SUM(F83:F94)</f>
        <v>50831854</v>
      </c>
      <c r="G95" s="15" t="s">
        <v>20</v>
      </c>
      <c r="H95" s="15"/>
      <c r="I95" s="17">
        <f>F95/$L$1</f>
        <v>116.29686048594398</v>
      </c>
    </row>
    <row r="96" spans="1:9" x14ac:dyDescent="0.55000000000000004">
      <c r="G96" t="s">
        <v>47</v>
      </c>
      <c r="I96" s="21">
        <f>(E84*'Available Land_Plant Land Use'!$D$13+E85*'Available Land_Plant Land Use'!$D$14)/1000000</f>
        <v>5.4345282940000006</v>
      </c>
    </row>
    <row r="97" spans="1:9" ht="14.7" thickBot="1" x14ac:dyDescent="0.6"/>
    <row r="98" spans="1:9" ht="14.7" thickBot="1" x14ac:dyDescent="0.6">
      <c r="A98" s="3" t="s">
        <v>121</v>
      </c>
      <c r="I98" s="21"/>
    </row>
    <row r="99" spans="1:9" x14ac:dyDescent="0.55000000000000004">
      <c r="A99" s="18" t="s">
        <v>23</v>
      </c>
      <c r="B99" s="4" t="s">
        <v>27</v>
      </c>
      <c r="C99" s="4" t="s">
        <v>28</v>
      </c>
      <c r="D99" s="4"/>
      <c r="E99" s="4" t="s">
        <v>37</v>
      </c>
      <c r="F99" s="4" t="s">
        <v>18</v>
      </c>
      <c r="G99" s="4" t="s">
        <v>32</v>
      </c>
      <c r="H99" s="4" t="s">
        <v>36</v>
      </c>
      <c r="I99" s="5" t="s">
        <v>2</v>
      </c>
    </row>
    <row r="100" spans="1:9" x14ac:dyDescent="0.55000000000000004">
      <c r="A100" s="6" t="s">
        <v>3</v>
      </c>
      <c r="B100" s="14">
        <v>116276</v>
      </c>
      <c r="E100">
        <v>63</v>
      </c>
      <c r="F100" s="8">
        <f>E100*B100</f>
        <v>7325388</v>
      </c>
      <c r="G100">
        <v>234770</v>
      </c>
      <c r="H100" s="19">
        <f t="shared" ref="H100:H102" si="13">G100/(E100*8760)</f>
        <v>0.4254004493730521</v>
      </c>
      <c r="I100" s="9" t="s">
        <v>10</v>
      </c>
    </row>
    <row r="101" spans="1:9" x14ac:dyDescent="0.55000000000000004">
      <c r="A101" s="6" t="s">
        <v>4</v>
      </c>
      <c r="B101" s="1">
        <v>102973</v>
      </c>
      <c r="E101">
        <v>273</v>
      </c>
      <c r="F101" s="8">
        <f>E101*B101</f>
        <v>28111629</v>
      </c>
      <c r="G101">
        <v>215957</v>
      </c>
      <c r="H101" s="19">
        <f t="shared" si="13"/>
        <v>9.030265776841119E-2</v>
      </c>
      <c r="I101" s="9" t="s">
        <v>10</v>
      </c>
    </row>
    <row r="102" spans="1:9" x14ac:dyDescent="0.55000000000000004">
      <c r="A102" s="6" t="s">
        <v>5</v>
      </c>
      <c r="B102" s="7">
        <v>291720</v>
      </c>
      <c r="E102">
        <v>8</v>
      </c>
      <c r="F102" s="8">
        <f>E102*B102</f>
        <v>2333760</v>
      </c>
      <c r="G102">
        <v>11654</v>
      </c>
      <c r="H102" s="19">
        <f t="shared" si="13"/>
        <v>0.16629566210045663</v>
      </c>
      <c r="I102" s="9" t="s">
        <v>10</v>
      </c>
    </row>
    <row r="103" spans="1:9" ht="14.7" thickBot="1" x14ac:dyDescent="0.6">
      <c r="A103" s="6"/>
      <c r="B103" s="7"/>
      <c r="H103" s="19"/>
      <c r="I103" s="9"/>
    </row>
    <row r="104" spans="1:9" x14ac:dyDescent="0.55000000000000004">
      <c r="A104" s="10" t="s">
        <v>6</v>
      </c>
      <c r="B104" t="s">
        <v>54</v>
      </c>
      <c r="C104" t="s">
        <v>11</v>
      </c>
      <c r="E104" t="s">
        <v>1</v>
      </c>
      <c r="G104" t="s">
        <v>22</v>
      </c>
      <c r="I104" s="5" t="s">
        <v>2</v>
      </c>
    </row>
    <row r="105" spans="1:9" x14ac:dyDescent="0.55000000000000004">
      <c r="A105" s="6" t="s">
        <v>7</v>
      </c>
      <c r="B105" s="1">
        <v>15700</v>
      </c>
      <c r="C105">
        <v>6</v>
      </c>
      <c r="E105">
        <v>420</v>
      </c>
      <c r="F105" s="8">
        <f>E105*B105</f>
        <v>6594000</v>
      </c>
      <c r="G105">
        <f>E105/70</f>
        <v>6</v>
      </c>
      <c r="I105" s="9" t="s">
        <v>9</v>
      </c>
    </row>
    <row r="106" spans="1:9" x14ac:dyDescent="0.55000000000000004">
      <c r="A106" s="6" t="s">
        <v>8</v>
      </c>
      <c r="B106" s="1">
        <v>4290</v>
      </c>
      <c r="C106">
        <v>77</v>
      </c>
      <c r="E106">
        <v>1272</v>
      </c>
      <c r="F106" s="8">
        <f>E106*B106</f>
        <v>5456880</v>
      </c>
      <c r="G106" s="25">
        <f>E106/70</f>
        <v>18.171428571428571</v>
      </c>
      <c r="I106" s="9" t="s">
        <v>10</v>
      </c>
    </row>
    <row r="107" spans="1:9" x14ac:dyDescent="0.55000000000000004">
      <c r="A107" s="6" t="s">
        <v>49</v>
      </c>
      <c r="B107" s="1">
        <v>2860</v>
      </c>
      <c r="C107">
        <v>0</v>
      </c>
      <c r="E107">
        <v>2000</v>
      </c>
      <c r="F107" s="8">
        <f t="shared" ref="F107" si="14">E107*B107</f>
        <v>5720000</v>
      </c>
      <c r="G107" s="25">
        <f>IF(E111&gt;0,E107/E111,0)</f>
        <v>117.64705882352941</v>
      </c>
      <c r="I107" s="9" t="s">
        <v>9</v>
      </c>
    </row>
    <row r="108" spans="1:9" ht="14.7" thickBot="1" x14ac:dyDescent="0.6">
      <c r="A108" s="6"/>
      <c r="B108" s="1"/>
      <c r="F108" s="8"/>
      <c r="I108" s="9"/>
    </row>
    <row r="109" spans="1:9" x14ac:dyDescent="0.55000000000000004">
      <c r="A109" s="10" t="s">
        <v>51</v>
      </c>
      <c r="B109" s="4" t="s">
        <v>27</v>
      </c>
      <c r="E109" t="s">
        <v>37</v>
      </c>
      <c r="F109" s="8"/>
      <c r="I109" s="5" t="s">
        <v>2</v>
      </c>
    </row>
    <row r="110" spans="1:9" x14ac:dyDescent="0.55000000000000004">
      <c r="A110" s="6" t="s">
        <v>52</v>
      </c>
      <c r="B110" s="1">
        <v>85800</v>
      </c>
      <c r="E110">
        <v>24</v>
      </c>
      <c r="F110" s="8">
        <f t="shared" ref="F110:F111" si="15">E110*B110</f>
        <v>2059200</v>
      </c>
      <c r="I110" s="9" t="s">
        <v>10</v>
      </c>
    </row>
    <row r="111" spans="1:9" x14ac:dyDescent="0.55000000000000004">
      <c r="A111" s="6" t="s">
        <v>50</v>
      </c>
      <c r="B111" s="1">
        <v>42900</v>
      </c>
      <c r="E111">
        <v>17</v>
      </c>
      <c r="F111" s="8">
        <f t="shared" si="15"/>
        <v>729300</v>
      </c>
      <c r="I111" s="9" t="s">
        <v>10</v>
      </c>
    </row>
    <row r="112" spans="1:9" ht="14.7" thickBot="1" x14ac:dyDescent="0.6">
      <c r="A112" s="11"/>
      <c r="B112" s="13"/>
      <c r="C112" s="12"/>
      <c r="D112" s="12"/>
      <c r="E112" s="15" t="s">
        <v>19</v>
      </c>
      <c r="F112" s="16">
        <f>SUM(F100:F111)</f>
        <v>58330157</v>
      </c>
      <c r="G112" s="15" t="s">
        <v>20</v>
      </c>
      <c r="H112" s="15"/>
      <c r="I112" s="17">
        <f>F112/$L$1</f>
        <v>133.45203050733127</v>
      </c>
    </row>
    <row r="113" spans="7:9" x14ac:dyDescent="0.55000000000000004">
      <c r="G113" t="s">
        <v>47</v>
      </c>
      <c r="I113" s="21">
        <f>(E101*'Available Land_Plant Land Use'!$D$13+E102*'Available Land_Plant Land Use'!$D$14)/1000000</f>
        <v>4.8505663960000005</v>
      </c>
    </row>
  </sheetData>
  <mergeCells count="3">
    <mergeCell ref="B3:C3"/>
    <mergeCell ref="E3:I3"/>
    <mergeCell ref="M4:P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7963B-17D9-4DE5-83DD-7A0FEE0DBD76}">
  <dimension ref="A1:Q15"/>
  <sheetViews>
    <sheetView topLeftCell="D1" workbookViewId="0">
      <selection activeCell="N4" sqref="N4:P8"/>
    </sheetView>
  </sheetViews>
  <sheetFormatPr defaultRowHeight="14.4" x14ac:dyDescent="0.55000000000000004"/>
  <cols>
    <col min="1" max="1" width="25.20703125" bestFit="1" customWidth="1"/>
    <col min="2" max="2" width="16.83984375" bestFit="1" customWidth="1"/>
    <col min="3" max="3" width="19.41796875" bestFit="1" customWidth="1"/>
    <col min="5" max="5" width="10.5234375" bestFit="1" customWidth="1"/>
    <col min="6" max="6" width="14.3125" bestFit="1" customWidth="1"/>
    <col min="7" max="7" width="15.578125" bestFit="1" customWidth="1"/>
    <col min="8" max="8" width="13.9453125" customWidth="1"/>
    <col min="9" max="9" width="8.7890625" bestFit="1" customWidth="1"/>
    <col min="14" max="14" width="20.26171875" bestFit="1" customWidth="1"/>
    <col min="15" max="16" width="15.05078125" bestFit="1" customWidth="1"/>
    <col min="17" max="17" width="16.05078125" bestFit="1" customWidth="1"/>
  </cols>
  <sheetData>
    <row r="1" spans="1:17" x14ac:dyDescent="0.55000000000000004">
      <c r="A1" t="s">
        <v>24</v>
      </c>
      <c r="K1" t="s">
        <v>62</v>
      </c>
      <c r="L1">
        <v>349669.65599999938</v>
      </c>
    </row>
    <row r="2" spans="1:17" ht="14.7" thickBot="1" x14ac:dyDescent="0.6">
      <c r="K2" t="s">
        <v>63</v>
      </c>
      <c r="L2">
        <v>437087.06999999972</v>
      </c>
    </row>
    <row r="3" spans="1:17" ht="14.7" thickBot="1" x14ac:dyDescent="0.6">
      <c r="A3" s="3" t="s">
        <v>60</v>
      </c>
      <c r="B3" s="39" t="s">
        <v>16</v>
      </c>
      <c r="C3" s="39"/>
      <c r="E3" s="40" t="s">
        <v>17</v>
      </c>
      <c r="F3" s="40"/>
      <c r="G3" s="40"/>
      <c r="H3" s="40"/>
      <c r="I3" s="40"/>
    </row>
    <row r="4" spans="1:17" x14ac:dyDescent="0.55000000000000004">
      <c r="A4" s="18" t="s">
        <v>23</v>
      </c>
      <c r="B4" s="4" t="s">
        <v>27</v>
      </c>
      <c r="C4" s="4" t="s">
        <v>28</v>
      </c>
      <c r="D4" s="4"/>
      <c r="E4" s="4" t="s">
        <v>37</v>
      </c>
      <c r="F4" s="4" t="s">
        <v>18</v>
      </c>
      <c r="G4" s="4" t="s">
        <v>29</v>
      </c>
      <c r="H4" s="4" t="s">
        <v>36</v>
      </c>
      <c r="I4" s="5" t="s">
        <v>2</v>
      </c>
      <c r="M4" t="s">
        <v>68</v>
      </c>
      <c r="N4" s="42" t="s">
        <v>103</v>
      </c>
      <c r="O4" s="43"/>
      <c r="P4" s="44"/>
      <c r="Q4" s="34"/>
    </row>
    <row r="5" spans="1:17" x14ac:dyDescent="0.55000000000000004">
      <c r="A5" s="6" t="s">
        <v>25</v>
      </c>
      <c r="B5" s="14">
        <v>154460</v>
      </c>
      <c r="C5" s="14">
        <v>170</v>
      </c>
      <c r="E5">
        <v>53.37</v>
      </c>
      <c r="F5" s="8">
        <f>E5*B5+C5*G5</f>
        <v>65283630.200000003</v>
      </c>
      <c r="G5">
        <v>335530</v>
      </c>
      <c r="H5" s="19">
        <f>G5/(E5*8760)</f>
        <v>0.71767868494519615</v>
      </c>
      <c r="I5" s="9" t="s">
        <v>10</v>
      </c>
      <c r="N5" s="27" t="s">
        <v>70</v>
      </c>
      <c r="O5" s="27" t="s">
        <v>60</v>
      </c>
      <c r="P5" s="27" t="s">
        <v>104</v>
      </c>
      <c r="Q5" s="27"/>
    </row>
    <row r="6" spans="1:17" x14ac:dyDescent="0.55000000000000004">
      <c r="A6" s="6" t="s">
        <v>26</v>
      </c>
      <c r="B6" s="14">
        <v>75772</v>
      </c>
      <c r="E6">
        <v>9</v>
      </c>
      <c r="F6" s="8">
        <f>E6*B6</f>
        <v>681948</v>
      </c>
      <c r="G6">
        <v>14139</v>
      </c>
      <c r="H6" s="19">
        <f>G6/(E6*8760)</f>
        <v>0.179337899543379</v>
      </c>
      <c r="I6" s="9" t="s">
        <v>10</v>
      </c>
      <c r="N6" s="28" t="s">
        <v>74</v>
      </c>
      <c r="O6" s="29">
        <f>I8</f>
        <v>188.65113706063221</v>
      </c>
      <c r="P6" s="29">
        <f>I15</f>
        <v>189.63882688179282</v>
      </c>
      <c r="Q6" s="29"/>
    </row>
    <row r="7" spans="1:17" x14ac:dyDescent="0.55000000000000004">
      <c r="A7" s="6"/>
      <c r="B7" s="7"/>
      <c r="H7" s="23"/>
      <c r="I7" s="9"/>
      <c r="N7" s="28" t="s">
        <v>91</v>
      </c>
      <c r="O7" s="30">
        <v>53.5</v>
      </c>
      <c r="P7" s="30">
        <v>66.75</v>
      </c>
      <c r="Q7" s="31"/>
    </row>
    <row r="8" spans="1:17" ht="14.7" thickBot="1" x14ac:dyDescent="0.6">
      <c r="A8" s="11"/>
      <c r="B8" s="12"/>
      <c r="C8" s="12"/>
      <c r="D8" s="12"/>
      <c r="E8" s="15" t="s">
        <v>19</v>
      </c>
      <c r="F8" s="16">
        <f>SUM(F5:F6)</f>
        <v>65965578.200000003</v>
      </c>
      <c r="G8" s="15" t="s">
        <v>20</v>
      </c>
      <c r="H8" s="15"/>
      <c r="I8" s="17">
        <f>F8/$L$1</f>
        <v>188.65113706063221</v>
      </c>
      <c r="N8" s="28" t="s">
        <v>76</v>
      </c>
      <c r="O8" s="32">
        <v>9</v>
      </c>
      <c r="P8" s="32">
        <v>9</v>
      </c>
      <c r="Q8" s="32"/>
    </row>
    <row r="9" spans="1:17" ht="14.7" thickBot="1" x14ac:dyDescent="0.6"/>
    <row r="10" spans="1:17" ht="14.7" thickBot="1" x14ac:dyDescent="0.6">
      <c r="A10" s="3" t="s">
        <v>61</v>
      </c>
      <c r="B10" s="39" t="s">
        <v>16</v>
      </c>
      <c r="C10" s="39"/>
      <c r="E10" s="40" t="s">
        <v>17</v>
      </c>
      <c r="F10" s="40"/>
      <c r="G10" s="40"/>
      <c r="H10" s="40"/>
      <c r="I10" s="40"/>
    </row>
    <row r="11" spans="1:17" x14ac:dyDescent="0.55000000000000004">
      <c r="A11" s="18" t="s">
        <v>23</v>
      </c>
      <c r="B11" s="4" t="s">
        <v>27</v>
      </c>
      <c r="C11" s="4" t="s">
        <v>28</v>
      </c>
      <c r="D11" s="4"/>
      <c r="E11" s="4" t="s">
        <v>37</v>
      </c>
      <c r="F11" s="4" t="s">
        <v>18</v>
      </c>
      <c r="G11" s="4" t="s">
        <v>29</v>
      </c>
      <c r="H11" s="4" t="s">
        <v>36</v>
      </c>
      <c r="I11" s="5" t="s">
        <v>2</v>
      </c>
    </row>
    <row r="12" spans="1:17" x14ac:dyDescent="0.55000000000000004">
      <c r="A12" s="6" t="s">
        <v>25</v>
      </c>
      <c r="B12" s="14">
        <v>154460</v>
      </c>
      <c r="C12" s="14">
        <v>170</v>
      </c>
      <c r="E12">
        <v>66.72</v>
      </c>
      <c r="F12" s="8">
        <f>E12*B12+C12*G12</f>
        <v>82206731.200000003</v>
      </c>
      <c r="G12">
        <v>422948</v>
      </c>
      <c r="H12" s="19">
        <f>G12/(E12*8760)</f>
        <v>0.72364710970949275</v>
      </c>
      <c r="I12" s="9" t="s">
        <v>10</v>
      </c>
    </row>
    <row r="13" spans="1:17" x14ac:dyDescent="0.55000000000000004">
      <c r="A13" s="6" t="s">
        <v>26</v>
      </c>
      <c r="B13" s="14">
        <v>75772</v>
      </c>
      <c r="E13">
        <v>9</v>
      </c>
      <c r="F13" s="8">
        <f>E13*B13</f>
        <v>681948</v>
      </c>
      <c r="G13">
        <v>14139</v>
      </c>
      <c r="H13" s="19">
        <f>G13/(E13*8760)</f>
        <v>0.179337899543379</v>
      </c>
      <c r="I13" s="9" t="s">
        <v>10</v>
      </c>
      <c r="N13" s="28"/>
      <c r="O13" s="32"/>
      <c r="P13" s="32"/>
      <c r="Q13" s="32"/>
    </row>
    <row r="14" spans="1:17" x14ac:dyDescent="0.55000000000000004">
      <c r="A14" s="6"/>
      <c r="B14" s="7"/>
      <c r="H14" s="23"/>
      <c r="I14" s="9"/>
      <c r="N14" s="28"/>
      <c r="O14" s="32"/>
      <c r="P14" s="32"/>
      <c r="Q14" s="32"/>
    </row>
    <row r="15" spans="1:17" ht="14.7" thickBot="1" x14ac:dyDescent="0.6">
      <c r="A15" s="11"/>
      <c r="B15" s="12"/>
      <c r="C15" s="12"/>
      <c r="D15" s="12"/>
      <c r="E15" s="15" t="s">
        <v>19</v>
      </c>
      <c r="F15" s="16">
        <f>SUM(F12:F13)</f>
        <v>82888679.200000003</v>
      </c>
      <c r="G15" s="15" t="s">
        <v>20</v>
      </c>
      <c r="H15" s="15"/>
      <c r="I15" s="17">
        <f>F15/$L$2</f>
        <v>189.63882688179282</v>
      </c>
      <c r="N15" s="28"/>
      <c r="O15" s="30"/>
      <c r="P15" s="30"/>
      <c r="Q15" s="32"/>
    </row>
  </sheetData>
  <mergeCells count="5">
    <mergeCell ref="B3:C3"/>
    <mergeCell ref="E3:I3"/>
    <mergeCell ref="B10:C10"/>
    <mergeCell ref="E10:I10"/>
    <mergeCell ref="N4:P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5932-2CC0-4E48-A485-03DF9A7988D7}">
  <dimension ref="A1:R27"/>
  <sheetViews>
    <sheetView topLeftCell="A3" workbookViewId="0">
      <selection activeCell="N3" sqref="N3:Q10"/>
    </sheetView>
  </sheetViews>
  <sheetFormatPr defaultRowHeight="14.4" x14ac:dyDescent="0.55000000000000004"/>
  <cols>
    <col min="1" max="1" width="12.578125" bestFit="1" customWidth="1"/>
    <col min="2" max="2" width="17.83984375" bestFit="1" customWidth="1"/>
    <col min="3" max="3" width="11.578125" bestFit="1" customWidth="1"/>
    <col min="5" max="5" width="12.83984375" bestFit="1" customWidth="1"/>
    <col min="6" max="6" width="15.3125" bestFit="1" customWidth="1"/>
    <col min="7" max="7" width="21.15625" bestFit="1" customWidth="1"/>
    <col min="8" max="8" width="15.3125" customWidth="1"/>
    <col min="9" max="9" width="14.3125" bestFit="1" customWidth="1"/>
    <col min="11" max="11" width="15.3125" bestFit="1" customWidth="1"/>
    <col min="13" max="13" width="15.9453125" bestFit="1" customWidth="1"/>
    <col min="14" max="14" width="20.26171875" bestFit="1" customWidth="1"/>
    <col min="15" max="16" width="15.05078125" bestFit="1" customWidth="1"/>
    <col min="17" max="17" width="16.05078125" bestFit="1" customWidth="1"/>
  </cols>
  <sheetData>
    <row r="1" spans="1:18" x14ac:dyDescent="0.55000000000000004">
      <c r="A1" t="s">
        <v>15</v>
      </c>
      <c r="K1" t="s">
        <v>21</v>
      </c>
      <c r="L1">
        <v>437087.06999999972</v>
      </c>
    </row>
    <row r="2" spans="1:18" ht="14.7" thickBot="1" x14ac:dyDescent="0.6"/>
    <row r="3" spans="1:18" ht="14.7" thickBot="1" x14ac:dyDescent="0.6">
      <c r="A3" s="3" t="s">
        <v>12</v>
      </c>
      <c r="B3" s="39" t="s">
        <v>16</v>
      </c>
      <c r="C3" s="39"/>
      <c r="E3" s="40" t="s">
        <v>17</v>
      </c>
      <c r="F3" s="40"/>
      <c r="G3" s="40"/>
      <c r="H3" s="40"/>
      <c r="I3" s="40"/>
      <c r="M3" t="s">
        <v>68</v>
      </c>
      <c r="N3" s="41" t="s">
        <v>69</v>
      </c>
      <c r="O3" s="41"/>
      <c r="P3" s="41"/>
      <c r="Q3" s="41"/>
      <c r="R3" s="26"/>
    </row>
    <row r="4" spans="1:18" x14ac:dyDescent="0.55000000000000004">
      <c r="A4" s="18" t="s">
        <v>23</v>
      </c>
      <c r="B4" s="4" t="s">
        <v>27</v>
      </c>
      <c r="C4" s="4"/>
      <c r="D4" s="4"/>
      <c r="E4" s="4" t="s">
        <v>37</v>
      </c>
      <c r="F4" s="4" t="s">
        <v>18</v>
      </c>
      <c r="G4" s="4" t="s">
        <v>64</v>
      </c>
      <c r="H4" s="4" t="s">
        <v>36</v>
      </c>
      <c r="I4" s="5" t="s">
        <v>2</v>
      </c>
      <c r="N4" s="27" t="s">
        <v>70</v>
      </c>
      <c r="O4" s="27" t="s">
        <v>71</v>
      </c>
      <c r="P4" s="27" t="s">
        <v>72</v>
      </c>
      <c r="Q4" s="27" t="s">
        <v>73</v>
      </c>
    </row>
    <row r="5" spans="1:18" x14ac:dyDescent="0.55000000000000004">
      <c r="A5" s="6" t="s">
        <v>3</v>
      </c>
      <c r="B5" s="14">
        <v>116276</v>
      </c>
      <c r="E5">
        <v>25</v>
      </c>
      <c r="F5" s="8">
        <f>E5*B5</f>
        <v>2906900</v>
      </c>
      <c r="G5">
        <v>90937</v>
      </c>
      <c r="H5" s="19">
        <f>G5/(E5*8760)</f>
        <v>0.41523744292237441</v>
      </c>
      <c r="I5" s="9" t="s">
        <v>9</v>
      </c>
      <c r="N5" s="28" t="s">
        <v>74</v>
      </c>
      <c r="O5" s="29">
        <f>I10</f>
        <v>169.09188368349595</v>
      </c>
      <c r="P5" s="29">
        <f>I18</f>
        <v>155.47670170156269</v>
      </c>
      <c r="Q5" s="29">
        <f>I26</f>
        <v>154.1909899096307</v>
      </c>
    </row>
    <row r="6" spans="1:18" x14ac:dyDescent="0.55000000000000004">
      <c r="A6" s="6" t="s">
        <v>4</v>
      </c>
      <c r="B6" s="14">
        <v>75772</v>
      </c>
      <c r="E6">
        <v>608</v>
      </c>
      <c r="F6" s="8">
        <f>E6*B6</f>
        <v>46069376</v>
      </c>
      <c r="G6">
        <v>365188</v>
      </c>
      <c r="H6" s="19">
        <f>G6/(E6*8760)</f>
        <v>6.856599975967316E-2</v>
      </c>
      <c r="I6" s="9" t="s">
        <v>10</v>
      </c>
      <c r="N6" s="28" t="s">
        <v>75</v>
      </c>
      <c r="O6" s="30">
        <f>I11</f>
        <v>10.334061696000001</v>
      </c>
      <c r="P6" s="30">
        <f>I19</f>
        <v>7.6145717760000009</v>
      </c>
      <c r="Q6" s="31">
        <f>I27</f>
        <v>7.1386610400000006</v>
      </c>
    </row>
    <row r="7" spans="1:18" ht="14.7" thickBot="1" x14ac:dyDescent="0.6">
      <c r="A7" s="6"/>
      <c r="B7" s="7"/>
      <c r="I7" s="9"/>
      <c r="N7" s="28" t="s">
        <v>76</v>
      </c>
      <c r="O7" s="32">
        <f>E6</f>
        <v>608</v>
      </c>
      <c r="P7" s="32">
        <f>E14</f>
        <v>448</v>
      </c>
      <c r="Q7" s="32">
        <f>E22</f>
        <v>420</v>
      </c>
    </row>
    <row r="8" spans="1:18" x14ac:dyDescent="0.55000000000000004">
      <c r="A8" s="10" t="s">
        <v>6</v>
      </c>
      <c r="B8" t="s">
        <v>53</v>
      </c>
      <c r="C8" t="s">
        <v>11</v>
      </c>
      <c r="E8" t="s">
        <v>1</v>
      </c>
      <c r="F8" s="4" t="s">
        <v>18</v>
      </c>
      <c r="H8" t="s">
        <v>22</v>
      </c>
      <c r="I8" s="5" t="s">
        <v>2</v>
      </c>
      <c r="N8" s="28" t="s">
        <v>77</v>
      </c>
      <c r="O8" s="32">
        <f>E5</f>
        <v>25</v>
      </c>
      <c r="P8" s="32">
        <f>E13</f>
        <v>50</v>
      </c>
      <c r="Q8" s="32">
        <f>E21</f>
        <v>73</v>
      </c>
    </row>
    <row r="9" spans="1:18" x14ac:dyDescent="0.55000000000000004">
      <c r="A9" s="6" t="s">
        <v>7</v>
      </c>
      <c r="B9" s="1">
        <v>15700</v>
      </c>
      <c r="C9">
        <v>403</v>
      </c>
      <c r="E9">
        <v>1588</v>
      </c>
      <c r="F9" s="8">
        <f>E9*B9</f>
        <v>24931600</v>
      </c>
      <c r="G9" s="8"/>
      <c r="H9">
        <f>E9/60</f>
        <v>26.466666666666665</v>
      </c>
      <c r="I9" s="9" t="s">
        <v>10</v>
      </c>
      <c r="N9" s="28" t="s">
        <v>78</v>
      </c>
      <c r="O9" s="32">
        <f>E9</f>
        <v>1588</v>
      </c>
      <c r="P9" s="32">
        <f>E17</f>
        <v>1796</v>
      </c>
      <c r="Q9" s="32">
        <f>E25</f>
        <v>1725</v>
      </c>
    </row>
    <row r="10" spans="1:18" ht="14.7" thickBot="1" x14ac:dyDescent="0.6">
      <c r="A10" s="11"/>
      <c r="B10" s="12"/>
      <c r="C10" s="12"/>
      <c r="D10" s="12"/>
      <c r="E10" s="15" t="s">
        <v>19</v>
      </c>
      <c r="F10" s="16">
        <f>SUM(F9,F5:F6)</f>
        <v>73907876</v>
      </c>
      <c r="G10" s="16"/>
      <c r="H10" s="15" t="s">
        <v>20</v>
      </c>
      <c r="I10" s="17">
        <f>F10/$L$1</f>
        <v>169.09188368349595</v>
      </c>
      <c r="K10" s="1"/>
      <c r="N10" s="28" t="s">
        <v>79</v>
      </c>
      <c r="O10" s="30">
        <f>H9</f>
        <v>26.466666666666665</v>
      </c>
      <c r="P10" s="30">
        <f>H17</f>
        <v>29.933333333333334</v>
      </c>
      <c r="Q10" s="32">
        <f>H25</f>
        <v>28.75</v>
      </c>
    </row>
    <row r="11" spans="1:18" ht="14.7" thickBot="1" x14ac:dyDescent="0.6">
      <c r="A11" s="3" t="s">
        <v>13</v>
      </c>
      <c r="H11" t="s">
        <v>47</v>
      </c>
      <c r="I11" s="21">
        <f>(E6*'Available Land_Plant Land Use'!$D$13)/1000000</f>
        <v>10.334061696000001</v>
      </c>
      <c r="K11" s="2"/>
    </row>
    <row r="12" spans="1:18" x14ac:dyDescent="0.55000000000000004">
      <c r="A12" s="18" t="s">
        <v>23</v>
      </c>
      <c r="B12" s="4" t="s">
        <v>27</v>
      </c>
      <c r="C12" s="4"/>
      <c r="D12" s="4"/>
      <c r="E12" s="4" t="s">
        <v>37</v>
      </c>
      <c r="F12" s="4" t="s">
        <v>18</v>
      </c>
      <c r="G12" s="4" t="s">
        <v>64</v>
      </c>
      <c r="H12" s="4" t="s">
        <v>36</v>
      </c>
      <c r="I12" s="5" t="s">
        <v>2</v>
      </c>
    </row>
    <row r="13" spans="1:18" x14ac:dyDescent="0.55000000000000004">
      <c r="A13" s="6" t="s">
        <v>3</v>
      </c>
      <c r="B13" s="14">
        <v>116276</v>
      </c>
      <c r="E13">
        <v>50</v>
      </c>
      <c r="F13" s="8">
        <f>E13*B13</f>
        <v>5813800</v>
      </c>
      <c r="G13">
        <v>186722</v>
      </c>
      <c r="H13" s="19">
        <f>G13/(E13*8760)</f>
        <v>0.42630593607305939</v>
      </c>
      <c r="I13" s="9" t="s">
        <v>9</v>
      </c>
    </row>
    <row r="14" spans="1:18" x14ac:dyDescent="0.55000000000000004">
      <c r="A14" s="6" t="s">
        <v>4</v>
      </c>
      <c r="B14" s="14">
        <v>75772</v>
      </c>
      <c r="E14">
        <v>448</v>
      </c>
      <c r="F14" s="8">
        <f>E14*B14</f>
        <v>33945856</v>
      </c>
      <c r="G14">
        <v>264130</v>
      </c>
      <c r="H14" s="19">
        <f>G14/(E14*8760)</f>
        <v>6.7303184116112205E-2</v>
      </c>
      <c r="I14" s="9" t="s">
        <v>10</v>
      </c>
    </row>
    <row r="15" spans="1:18" ht="14.7" thickBot="1" x14ac:dyDescent="0.6">
      <c r="A15" s="6"/>
      <c r="I15" s="9"/>
    </row>
    <row r="16" spans="1:18" x14ac:dyDescent="0.55000000000000004">
      <c r="A16" s="10" t="s">
        <v>6</v>
      </c>
      <c r="B16" t="s">
        <v>54</v>
      </c>
      <c r="C16" t="s">
        <v>11</v>
      </c>
      <c r="E16" t="s">
        <v>1</v>
      </c>
      <c r="F16" s="4" t="s">
        <v>18</v>
      </c>
      <c r="H16" t="s">
        <v>22</v>
      </c>
      <c r="I16" s="5" t="s">
        <v>2</v>
      </c>
    </row>
    <row r="17" spans="1:9" x14ac:dyDescent="0.55000000000000004">
      <c r="A17" s="6" t="s">
        <v>7</v>
      </c>
      <c r="B17" s="1">
        <v>15700</v>
      </c>
      <c r="C17">
        <v>58</v>
      </c>
      <c r="E17">
        <v>1796</v>
      </c>
      <c r="F17" s="8">
        <f>E17*B17</f>
        <v>28197200</v>
      </c>
      <c r="G17" s="8"/>
      <c r="H17">
        <f>E17/60</f>
        <v>29.933333333333334</v>
      </c>
      <c r="I17" s="9" t="s">
        <v>10</v>
      </c>
    </row>
    <row r="18" spans="1:9" ht="14.7" thickBot="1" x14ac:dyDescent="0.6">
      <c r="A18" s="11"/>
      <c r="B18" s="13"/>
      <c r="C18" s="12"/>
      <c r="D18" s="12"/>
      <c r="E18" s="15" t="s">
        <v>19</v>
      </c>
      <c r="F18" s="16">
        <f>SUM(F17,F13:F14)</f>
        <v>67956856</v>
      </c>
      <c r="G18" s="16"/>
      <c r="H18" s="15" t="s">
        <v>20</v>
      </c>
      <c r="I18" s="17">
        <f>F18/$L$1</f>
        <v>155.47670170156269</v>
      </c>
    </row>
    <row r="19" spans="1:9" ht="14.7" thickBot="1" x14ac:dyDescent="0.6">
      <c r="A19" s="3" t="s">
        <v>14</v>
      </c>
      <c r="H19" t="s">
        <v>47</v>
      </c>
      <c r="I19" s="21">
        <f>(E14*'Available Land_Plant Land Use'!$D$13)/1000000</f>
        <v>7.6145717760000009</v>
      </c>
    </row>
    <row r="20" spans="1:9" x14ac:dyDescent="0.55000000000000004">
      <c r="A20" s="18" t="s">
        <v>23</v>
      </c>
      <c r="B20" s="4" t="s">
        <v>27</v>
      </c>
      <c r="C20" s="4"/>
      <c r="D20" s="4"/>
      <c r="E20" s="4" t="s">
        <v>37</v>
      </c>
      <c r="F20" s="4" t="s">
        <v>18</v>
      </c>
      <c r="G20" s="4" t="s">
        <v>64</v>
      </c>
      <c r="H20" s="4" t="s">
        <v>36</v>
      </c>
      <c r="I20" s="5" t="s">
        <v>2</v>
      </c>
    </row>
    <row r="21" spans="1:9" x14ac:dyDescent="0.55000000000000004">
      <c r="A21" s="6" t="s">
        <v>3</v>
      </c>
      <c r="B21" s="14">
        <v>116276</v>
      </c>
      <c r="E21">
        <v>73</v>
      </c>
      <c r="F21" s="8">
        <f>E21*B21</f>
        <v>8488148</v>
      </c>
      <c r="G21">
        <v>268613</v>
      </c>
      <c r="H21" s="19">
        <f>G21/(E21*8760)</f>
        <v>0.42004910239569648</v>
      </c>
      <c r="I21" s="9" t="s">
        <v>10</v>
      </c>
    </row>
    <row r="22" spans="1:9" x14ac:dyDescent="0.55000000000000004">
      <c r="A22" s="6" t="s">
        <v>4</v>
      </c>
      <c r="B22" s="14">
        <v>75772</v>
      </c>
      <c r="E22">
        <v>420</v>
      </c>
      <c r="F22" s="8">
        <f>E22*B22</f>
        <v>31824240</v>
      </c>
      <c r="G22">
        <v>178193</v>
      </c>
      <c r="H22" s="19">
        <f>G22/(E22*8760)</f>
        <v>4.8432539682539681E-2</v>
      </c>
      <c r="I22" s="9" t="s">
        <v>10</v>
      </c>
    </row>
    <row r="23" spans="1:9" ht="14.7" thickBot="1" x14ac:dyDescent="0.6">
      <c r="A23" s="6"/>
      <c r="I23" s="9"/>
    </row>
    <row r="24" spans="1:9" x14ac:dyDescent="0.55000000000000004">
      <c r="A24" s="10" t="s">
        <v>6</v>
      </c>
      <c r="B24" t="s">
        <v>54</v>
      </c>
      <c r="C24" t="s">
        <v>11</v>
      </c>
      <c r="E24" t="s">
        <v>1</v>
      </c>
      <c r="F24" s="4" t="s">
        <v>18</v>
      </c>
      <c r="H24" t="s">
        <v>22</v>
      </c>
      <c r="I24" s="5" t="s">
        <v>2</v>
      </c>
    </row>
    <row r="25" spans="1:9" x14ac:dyDescent="0.55000000000000004">
      <c r="A25" s="6" t="s">
        <v>7</v>
      </c>
      <c r="B25" s="1">
        <v>15700</v>
      </c>
      <c r="C25">
        <v>0</v>
      </c>
      <c r="E25">
        <v>1725</v>
      </c>
      <c r="F25" s="8">
        <f>E25*B25</f>
        <v>27082500</v>
      </c>
      <c r="G25" s="8"/>
      <c r="H25">
        <f>E25/60</f>
        <v>28.75</v>
      </c>
      <c r="I25" s="9" t="s">
        <v>10</v>
      </c>
    </row>
    <row r="26" spans="1:9" ht="14.7" thickBot="1" x14ac:dyDescent="0.6">
      <c r="A26" s="11"/>
      <c r="B26" s="12"/>
      <c r="C26" s="12"/>
      <c r="D26" s="12"/>
      <c r="E26" s="15" t="s">
        <v>19</v>
      </c>
      <c r="F26" s="16">
        <f>SUM(F25,F21:F22)</f>
        <v>67394888</v>
      </c>
      <c r="G26" s="16"/>
      <c r="H26" s="15" t="s">
        <v>20</v>
      </c>
      <c r="I26" s="17">
        <f>F26/$L$1</f>
        <v>154.1909899096307</v>
      </c>
    </row>
    <row r="27" spans="1:9" x14ac:dyDescent="0.55000000000000004">
      <c r="H27" t="s">
        <v>47</v>
      </c>
      <c r="I27" s="21">
        <f>(E22*'Available Land_Plant Land Use'!$D$13)/1000000</f>
        <v>7.1386610400000006</v>
      </c>
    </row>
  </sheetData>
  <mergeCells count="3">
    <mergeCell ref="E3:I3"/>
    <mergeCell ref="B3:C3"/>
    <mergeCell ref="N3:Q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2265D-3615-47E0-8DE7-A168120100E5}">
  <dimension ref="A1:Q82"/>
  <sheetViews>
    <sheetView topLeftCell="F1" workbookViewId="0">
      <selection activeCell="N5" sqref="N5:Q13"/>
    </sheetView>
  </sheetViews>
  <sheetFormatPr defaultRowHeight="14.4" x14ac:dyDescent="0.55000000000000004"/>
  <cols>
    <col min="1" max="1" width="16.62890625" bestFit="1" customWidth="1"/>
    <col min="2" max="2" width="17.83984375" bestFit="1" customWidth="1"/>
    <col min="3" max="3" width="11.578125" bestFit="1" customWidth="1"/>
    <col min="5" max="5" width="12.83984375" bestFit="1" customWidth="1"/>
    <col min="6" max="6" width="15.3125" bestFit="1" customWidth="1"/>
    <col min="7" max="8" width="15.3125" customWidth="1"/>
    <col min="9" max="9" width="14.3125" bestFit="1" customWidth="1"/>
    <col min="11" max="11" width="38.89453125" bestFit="1" customWidth="1"/>
    <col min="12" max="12" width="18.1015625" bestFit="1" customWidth="1"/>
    <col min="13" max="13" width="18.734375" bestFit="1" customWidth="1"/>
    <col min="14" max="14" width="15.47265625" customWidth="1"/>
    <col min="15" max="16" width="15.05078125" bestFit="1" customWidth="1"/>
    <col min="17" max="17" width="16.05078125" bestFit="1" customWidth="1"/>
  </cols>
  <sheetData>
    <row r="1" spans="1:17" x14ac:dyDescent="0.55000000000000004">
      <c r="A1" t="s">
        <v>5</v>
      </c>
      <c r="K1" t="s">
        <v>21</v>
      </c>
      <c r="L1">
        <v>437087.06999999972</v>
      </c>
    </row>
    <row r="2" spans="1:17" ht="14.7" thickBot="1" x14ac:dyDescent="0.6"/>
    <row r="3" spans="1:17" ht="14.7" thickBot="1" x14ac:dyDescent="0.6">
      <c r="A3" s="3" t="s">
        <v>12</v>
      </c>
      <c r="B3" s="39" t="s">
        <v>16</v>
      </c>
      <c r="C3" s="39"/>
      <c r="E3" s="40" t="s">
        <v>17</v>
      </c>
      <c r="F3" s="40"/>
      <c r="G3" s="40"/>
      <c r="H3" s="40"/>
      <c r="I3" s="40"/>
    </row>
    <row r="4" spans="1:17" x14ac:dyDescent="0.55000000000000004">
      <c r="A4" s="18" t="s">
        <v>23</v>
      </c>
      <c r="B4" s="4" t="s">
        <v>0</v>
      </c>
      <c r="C4" s="4"/>
      <c r="D4" s="4"/>
      <c r="E4" s="4" t="s">
        <v>37</v>
      </c>
      <c r="F4" s="4" t="s">
        <v>18</v>
      </c>
      <c r="G4" s="4" t="s">
        <v>64</v>
      </c>
      <c r="H4" s="4" t="s">
        <v>36</v>
      </c>
      <c r="I4" s="5" t="s">
        <v>2</v>
      </c>
    </row>
    <row r="5" spans="1:17" x14ac:dyDescent="0.55000000000000004">
      <c r="A5" s="6" t="s">
        <v>3</v>
      </c>
      <c r="B5" s="14">
        <v>116276</v>
      </c>
      <c r="E5">
        <v>25</v>
      </c>
      <c r="F5" s="8">
        <f>E5*B5</f>
        <v>2906900</v>
      </c>
      <c r="G5">
        <v>91360</v>
      </c>
      <c r="H5" s="19">
        <f>G5/(E5*8760)</f>
        <v>0.4171689497716895</v>
      </c>
      <c r="I5" s="9" t="s">
        <v>9</v>
      </c>
      <c r="M5" t="s">
        <v>68</v>
      </c>
      <c r="N5" s="41" t="s">
        <v>94</v>
      </c>
      <c r="O5" s="41"/>
      <c r="P5" s="41"/>
      <c r="Q5" s="41"/>
    </row>
    <row r="6" spans="1:17" x14ac:dyDescent="0.55000000000000004">
      <c r="A6" s="6" t="s">
        <v>4</v>
      </c>
      <c r="B6" s="14">
        <v>75772</v>
      </c>
      <c r="E6">
        <v>402</v>
      </c>
      <c r="F6" s="8">
        <f>E6*B6</f>
        <v>30460344</v>
      </c>
      <c r="G6">
        <v>327859</v>
      </c>
      <c r="H6" s="19">
        <f>G6/(E6*8760)</f>
        <v>9.3101558417955879E-2</v>
      </c>
      <c r="I6" s="9" t="s">
        <v>10</v>
      </c>
      <c r="N6" s="27" t="s">
        <v>70</v>
      </c>
      <c r="O6" s="27" t="s">
        <v>71</v>
      </c>
      <c r="P6" s="27" t="s">
        <v>72</v>
      </c>
      <c r="Q6" s="27" t="s">
        <v>73</v>
      </c>
    </row>
    <row r="7" spans="1:17" x14ac:dyDescent="0.55000000000000004">
      <c r="A7" s="6" t="s">
        <v>5</v>
      </c>
      <c r="B7" s="7">
        <v>291720</v>
      </c>
      <c r="E7">
        <v>22</v>
      </c>
      <c r="F7" s="8">
        <f>E7*B7</f>
        <v>6417840</v>
      </c>
      <c r="G7">
        <v>33822</v>
      </c>
      <c r="H7" s="19">
        <f>G7/(E7*8760)</f>
        <v>0.17549813200498132</v>
      </c>
      <c r="I7" s="9" t="s">
        <v>10</v>
      </c>
      <c r="N7" s="28" t="s">
        <v>74</v>
      </c>
      <c r="O7" s="29">
        <f>I12</f>
        <v>127.66331431401079</v>
      </c>
      <c r="P7" s="29">
        <f>I22</f>
        <v>119.0001708355272</v>
      </c>
      <c r="Q7" s="29">
        <f>I32</f>
        <v>118.03075300305734</v>
      </c>
    </row>
    <row r="8" spans="1:17" ht="14.7" thickBot="1" x14ac:dyDescent="0.6">
      <c r="A8" s="6"/>
      <c r="B8" s="7"/>
      <c r="I8" s="9"/>
      <c r="N8" s="28" t="s">
        <v>75</v>
      </c>
      <c r="O8" s="30">
        <f>I13</f>
        <v>7.411419404000001</v>
      </c>
      <c r="P8" s="30">
        <f>I23</f>
        <v>6.1334210160000007</v>
      </c>
      <c r="Q8" s="31">
        <f>I33</f>
        <v>5.8999171940000004</v>
      </c>
    </row>
    <row r="9" spans="1:17" x14ac:dyDescent="0.55000000000000004">
      <c r="A9" s="10" t="s">
        <v>6</v>
      </c>
      <c r="B9" t="s">
        <v>53</v>
      </c>
      <c r="C9" t="s">
        <v>11</v>
      </c>
      <c r="E9" t="s">
        <v>1</v>
      </c>
      <c r="H9" t="s">
        <v>22</v>
      </c>
      <c r="I9" s="5" t="s">
        <v>2</v>
      </c>
      <c r="N9" s="28" t="s">
        <v>76</v>
      </c>
      <c r="O9" s="32">
        <f>E6</f>
        <v>402</v>
      </c>
      <c r="P9" s="32">
        <f>E16</f>
        <v>333</v>
      </c>
      <c r="Q9" s="32">
        <f>E26</f>
        <v>327</v>
      </c>
    </row>
    <row r="10" spans="1:17" x14ac:dyDescent="0.55000000000000004">
      <c r="A10" s="6" t="s">
        <v>7</v>
      </c>
      <c r="B10" s="1">
        <v>15700</v>
      </c>
      <c r="C10">
        <v>164</v>
      </c>
      <c r="E10">
        <v>561</v>
      </c>
      <c r="F10" s="8">
        <f>E10*B10</f>
        <v>8807700</v>
      </c>
      <c r="G10" s="8"/>
      <c r="H10" s="24">
        <f>E10/70</f>
        <v>8.0142857142857142</v>
      </c>
      <c r="I10" s="9" t="s">
        <v>10</v>
      </c>
      <c r="N10" s="28" t="s">
        <v>77</v>
      </c>
      <c r="O10" s="32">
        <f>E5</f>
        <v>25</v>
      </c>
      <c r="P10" s="32">
        <f>E15</f>
        <v>50</v>
      </c>
      <c r="Q10" s="32">
        <f>E25</f>
        <v>62</v>
      </c>
    </row>
    <row r="11" spans="1:17" x14ac:dyDescent="0.55000000000000004">
      <c r="A11" s="6" t="s">
        <v>8</v>
      </c>
      <c r="B11" s="1">
        <v>4290</v>
      </c>
      <c r="C11">
        <v>1191</v>
      </c>
      <c r="E11">
        <v>1680</v>
      </c>
      <c r="F11" s="8">
        <f>E11*B11</f>
        <v>7207200</v>
      </c>
      <c r="G11" s="8"/>
      <c r="H11">
        <f>E11/70</f>
        <v>24</v>
      </c>
      <c r="I11" s="9" t="s">
        <v>10</v>
      </c>
      <c r="N11" s="28" t="s">
        <v>80</v>
      </c>
      <c r="O11" s="32">
        <f>E7</f>
        <v>22</v>
      </c>
      <c r="P11" s="32">
        <f>E17</f>
        <v>18</v>
      </c>
      <c r="Q11" s="32">
        <f>E27</f>
        <v>13</v>
      </c>
    </row>
    <row r="12" spans="1:17" ht="14.7" thickBot="1" x14ac:dyDescent="0.6">
      <c r="A12" s="11"/>
      <c r="B12" s="12"/>
      <c r="C12" s="12"/>
      <c r="D12" s="12"/>
      <c r="E12" s="15" t="s">
        <v>19</v>
      </c>
      <c r="F12" s="16">
        <f>SUM(F10:F11,F5:F7)</f>
        <v>55799984</v>
      </c>
      <c r="G12" s="16"/>
      <c r="H12" s="15" t="s">
        <v>20</v>
      </c>
      <c r="I12" s="17">
        <f>F12/$L$1</f>
        <v>127.66331431401079</v>
      </c>
      <c r="K12" s="1"/>
      <c r="N12" s="28" t="s">
        <v>81</v>
      </c>
      <c r="O12" s="33" t="s">
        <v>83</v>
      </c>
      <c r="P12" s="33" t="s">
        <v>84</v>
      </c>
      <c r="Q12" s="33" t="s">
        <v>86</v>
      </c>
    </row>
    <row r="13" spans="1:17" ht="14.7" thickBot="1" x14ac:dyDescent="0.6">
      <c r="A13" s="3" t="s">
        <v>13</v>
      </c>
      <c r="H13" t="s">
        <v>47</v>
      </c>
      <c r="I13" s="21">
        <f>(E6*'Available Land_Plant Land Use'!$D$13+E7*'Available Land_Plant Land Use'!$D$14)/1000000</f>
        <v>7.411419404000001</v>
      </c>
      <c r="K13" s="2"/>
      <c r="N13" s="28" t="s">
        <v>82</v>
      </c>
      <c r="O13" s="33" t="s">
        <v>85</v>
      </c>
      <c r="P13" s="33" t="s">
        <v>85</v>
      </c>
      <c r="Q13" s="33" t="s">
        <v>85</v>
      </c>
    </row>
    <row r="14" spans="1:17" x14ac:dyDescent="0.55000000000000004">
      <c r="A14" s="18" t="s">
        <v>23</v>
      </c>
      <c r="B14" s="4" t="s">
        <v>27</v>
      </c>
      <c r="C14" s="4"/>
      <c r="D14" s="4"/>
      <c r="E14" s="4" t="s">
        <v>37</v>
      </c>
      <c r="F14" s="4" t="s">
        <v>18</v>
      </c>
      <c r="G14" s="4" t="s">
        <v>64</v>
      </c>
      <c r="H14" s="4" t="s">
        <v>36</v>
      </c>
      <c r="I14" s="5" t="s">
        <v>2</v>
      </c>
    </row>
    <row r="15" spans="1:17" x14ac:dyDescent="0.55000000000000004">
      <c r="A15" s="6" t="s">
        <v>3</v>
      </c>
      <c r="B15" s="14">
        <v>116276</v>
      </c>
      <c r="E15">
        <v>50</v>
      </c>
      <c r="F15" s="8">
        <f>E15*B15</f>
        <v>5813800</v>
      </c>
      <c r="G15">
        <v>184236</v>
      </c>
      <c r="H15" s="19">
        <f>G15/(E15*8760)</f>
        <v>0.42063013698630136</v>
      </c>
      <c r="I15" s="9" t="s">
        <v>9</v>
      </c>
    </row>
    <row r="16" spans="1:17" x14ac:dyDescent="0.55000000000000004">
      <c r="A16" s="6" t="s">
        <v>4</v>
      </c>
      <c r="B16" s="14">
        <v>75772</v>
      </c>
      <c r="E16">
        <v>333</v>
      </c>
      <c r="F16" s="8">
        <f>E16*B16</f>
        <v>25232076</v>
      </c>
      <c r="G16">
        <v>236869</v>
      </c>
      <c r="H16" s="19">
        <f>G16/(E16*8760)</f>
        <v>8.1200721269214418E-2</v>
      </c>
      <c r="I16" s="9" t="s">
        <v>10</v>
      </c>
    </row>
    <row r="17" spans="1:9" x14ac:dyDescent="0.55000000000000004">
      <c r="A17" s="6" t="s">
        <v>5</v>
      </c>
      <c r="B17" s="7">
        <v>291720</v>
      </c>
      <c r="E17">
        <v>18</v>
      </c>
      <c r="F17" s="8">
        <f>E17*B17</f>
        <v>5250960</v>
      </c>
      <c r="G17">
        <v>27354</v>
      </c>
      <c r="H17" s="19">
        <f>G17/(E17*8760)</f>
        <v>0.17347792998477929</v>
      </c>
      <c r="I17" s="9" t="s">
        <v>10</v>
      </c>
    </row>
    <row r="18" spans="1:9" ht="14.7" thickBot="1" x14ac:dyDescent="0.6">
      <c r="A18" s="6"/>
      <c r="I18" s="9"/>
    </row>
    <row r="19" spans="1:9" x14ac:dyDescent="0.55000000000000004">
      <c r="A19" s="10" t="s">
        <v>6</v>
      </c>
      <c r="B19" t="s">
        <v>54</v>
      </c>
      <c r="C19" t="s">
        <v>11</v>
      </c>
      <c r="E19" t="s">
        <v>1</v>
      </c>
      <c r="F19" s="4" t="s">
        <v>18</v>
      </c>
      <c r="H19" t="s">
        <v>22</v>
      </c>
      <c r="I19" s="5" t="s">
        <v>2</v>
      </c>
    </row>
    <row r="20" spans="1:9" x14ac:dyDescent="0.55000000000000004">
      <c r="A20" s="6" t="s">
        <v>7</v>
      </c>
      <c r="B20" s="1">
        <v>15700</v>
      </c>
      <c r="C20">
        <v>58</v>
      </c>
      <c r="E20">
        <v>542</v>
      </c>
      <c r="F20" s="8">
        <f>E20*B20</f>
        <v>8509400</v>
      </c>
      <c r="G20" s="8"/>
      <c r="H20" s="24">
        <f>E20/70</f>
        <v>7.7428571428571429</v>
      </c>
      <c r="I20" s="9" t="s">
        <v>10</v>
      </c>
    </row>
    <row r="21" spans="1:9" x14ac:dyDescent="0.55000000000000004">
      <c r="A21" s="6" t="s">
        <v>8</v>
      </c>
      <c r="B21" s="1">
        <v>4290</v>
      </c>
      <c r="C21">
        <v>873</v>
      </c>
      <c r="E21">
        <v>1680</v>
      </c>
      <c r="F21" s="8">
        <f>E21*B21</f>
        <v>7207200</v>
      </c>
      <c r="G21" s="8"/>
      <c r="H21">
        <f>E21/70</f>
        <v>24</v>
      </c>
      <c r="I21" s="9" t="s">
        <v>9</v>
      </c>
    </row>
    <row r="22" spans="1:9" ht="14.7" thickBot="1" x14ac:dyDescent="0.6">
      <c r="A22" s="11"/>
      <c r="B22" s="13"/>
      <c r="C22" s="12"/>
      <c r="D22" s="12"/>
      <c r="E22" s="15" t="s">
        <v>19</v>
      </c>
      <c r="F22" s="16">
        <f>SUM(F20:F21,F15:F17)</f>
        <v>52013436</v>
      </c>
      <c r="G22" s="16"/>
      <c r="H22" s="15" t="s">
        <v>20</v>
      </c>
      <c r="I22" s="17">
        <f>F22/$L$1</f>
        <v>119.0001708355272</v>
      </c>
    </row>
    <row r="23" spans="1:9" ht="14.7" thickBot="1" x14ac:dyDescent="0.6">
      <c r="A23" s="3" t="s">
        <v>14</v>
      </c>
      <c r="H23" t="s">
        <v>47</v>
      </c>
      <c r="I23" s="21">
        <f>(E16*'Available Land_Plant Land Use'!$D$13+E17*'Available Land_Plant Land Use'!$D$14)/1000000</f>
        <v>6.1334210160000007</v>
      </c>
    </row>
    <row r="24" spans="1:9" x14ac:dyDescent="0.55000000000000004">
      <c r="A24" s="18" t="s">
        <v>23</v>
      </c>
      <c r="B24" s="4" t="s">
        <v>27</v>
      </c>
      <c r="C24" s="4"/>
      <c r="D24" s="4"/>
      <c r="E24" s="4" t="s">
        <v>37</v>
      </c>
      <c r="F24" s="4" t="s">
        <v>18</v>
      </c>
      <c r="G24" s="4" t="s">
        <v>64</v>
      </c>
      <c r="H24" s="4" t="s">
        <v>36</v>
      </c>
      <c r="I24" s="5" t="s">
        <v>2</v>
      </c>
    </row>
    <row r="25" spans="1:9" x14ac:dyDescent="0.55000000000000004">
      <c r="A25" s="6" t="s">
        <v>3</v>
      </c>
      <c r="B25" s="14">
        <v>116276</v>
      </c>
      <c r="E25">
        <v>62</v>
      </c>
      <c r="F25" s="8">
        <f>E25*B25</f>
        <v>7209112</v>
      </c>
      <c r="G25">
        <v>230765</v>
      </c>
      <c r="H25" s="19">
        <f>G25/(E25*8760)</f>
        <v>0.42488768596258653</v>
      </c>
      <c r="I25" s="9" t="s">
        <v>10</v>
      </c>
    </row>
    <row r="26" spans="1:9" ht="15.3" customHeight="1" x14ac:dyDescent="0.55000000000000004">
      <c r="A26" s="6" t="s">
        <v>4</v>
      </c>
      <c r="B26" s="14">
        <v>75772</v>
      </c>
      <c r="E26">
        <v>327</v>
      </c>
      <c r="F26" s="8">
        <f>E26*B26</f>
        <v>24777444</v>
      </c>
      <c r="G26">
        <v>197298</v>
      </c>
      <c r="H26" s="19">
        <f>G26/(E26*8760)</f>
        <v>6.8876460977755433E-2</v>
      </c>
      <c r="I26" s="9" t="s">
        <v>10</v>
      </c>
    </row>
    <row r="27" spans="1:9" x14ac:dyDescent="0.55000000000000004">
      <c r="A27" s="6" t="s">
        <v>5</v>
      </c>
      <c r="B27" s="7">
        <v>291720</v>
      </c>
      <c r="E27">
        <v>13</v>
      </c>
      <c r="F27" s="8">
        <f>E27*B27</f>
        <v>3792360</v>
      </c>
      <c r="G27">
        <v>18657</v>
      </c>
      <c r="H27" s="19">
        <f>G27/(E27*8760)</f>
        <v>0.16383034773445732</v>
      </c>
      <c r="I27" s="9" t="s">
        <v>10</v>
      </c>
    </row>
    <row r="28" spans="1:9" ht="14.7" thickBot="1" x14ac:dyDescent="0.6">
      <c r="A28" s="6"/>
      <c r="I28" s="9"/>
    </row>
    <row r="29" spans="1:9" x14ac:dyDescent="0.55000000000000004">
      <c r="A29" s="10" t="s">
        <v>6</v>
      </c>
      <c r="B29" t="s">
        <v>54</v>
      </c>
      <c r="C29" t="s">
        <v>11</v>
      </c>
      <c r="E29" t="s">
        <v>1</v>
      </c>
      <c r="F29" s="4" t="s">
        <v>18</v>
      </c>
      <c r="H29" t="s">
        <v>22</v>
      </c>
      <c r="I29" s="5" t="s">
        <v>2</v>
      </c>
    </row>
    <row r="30" spans="1:9" x14ac:dyDescent="0.55000000000000004">
      <c r="A30" s="6" t="s">
        <v>7</v>
      </c>
      <c r="B30" s="1">
        <v>15700</v>
      </c>
      <c r="C30">
        <v>9</v>
      </c>
      <c r="E30">
        <v>548</v>
      </c>
      <c r="F30" s="8">
        <f>E30*B30</f>
        <v>8603600</v>
      </c>
      <c r="G30" s="8"/>
      <c r="H30" s="24">
        <f>E30/70</f>
        <v>7.8285714285714283</v>
      </c>
      <c r="I30" s="9" t="s">
        <v>10</v>
      </c>
    </row>
    <row r="31" spans="1:9" x14ac:dyDescent="0.55000000000000004">
      <c r="A31" s="6" t="s">
        <v>8</v>
      </c>
      <c r="B31" s="1">
        <v>4290</v>
      </c>
      <c r="C31">
        <v>0</v>
      </c>
      <c r="E31">
        <v>1680</v>
      </c>
      <c r="F31" s="8">
        <f>E31*B31</f>
        <v>7207200</v>
      </c>
      <c r="G31" s="8"/>
      <c r="H31">
        <f>E31/70</f>
        <v>24</v>
      </c>
      <c r="I31" s="9" t="s">
        <v>9</v>
      </c>
    </row>
    <row r="32" spans="1:9" ht="14.7" thickBot="1" x14ac:dyDescent="0.6">
      <c r="A32" s="11"/>
      <c r="B32" s="12"/>
      <c r="C32" s="12"/>
      <c r="D32" s="12"/>
      <c r="E32" s="15" t="s">
        <v>19</v>
      </c>
      <c r="F32" s="16">
        <f>SUM(F30:F31,F25:F27)</f>
        <v>51589716</v>
      </c>
      <c r="G32" s="16"/>
      <c r="H32" s="15" t="s">
        <v>20</v>
      </c>
      <c r="I32" s="17">
        <f>F32/$L$1</f>
        <v>118.03075300305734</v>
      </c>
    </row>
    <row r="33" spans="1:9" x14ac:dyDescent="0.55000000000000004">
      <c r="H33" t="s">
        <v>47</v>
      </c>
      <c r="I33" s="21">
        <f>(E26*'Available Land_Plant Land Use'!$D$13+E27*'Available Land_Plant Land Use'!$D$14)/1000000</f>
        <v>5.8999171940000004</v>
      </c>
    </row>
    <row r="34" spans="1:9" ht="14.7" thickBot="1" x14ac:dyDescent="0.6"/>
    <row r="35" spans="1:9" ht="14.7" thickBot="1" x14ac:dyDescent="0.6">
      <c r="A35" s="3" t="s">
        <v>120</v>
      </c>
      <c r="B35" s="39" t="s">
        <v>16</v>
      </c>
      <c r="C35" s="39"/>
      <c r="E35" s="40" t="s">
        <v>17</v>
      </c>
      <c r="F35" s="40"/>
      <c r="G35" s="40"/>
      <c r="H35" s="40"/>
      <c r="I35" s="40"/>
    </row>
    <row r="36" spans="1:9" x14ac:dyDescent="0.55000000000000004">
      <c r="A36" s="18" t="s">
        <v>23</v>
      </c>
      <c r="B36" s="4" t="s">
        <v>0</v>
      </c>
      <c r="C36" s="4"/>
      <c r="D36" s="4"/>
      <c r="E36" s="4" t="s">
        <v>37</v>
      </c>
      <c r="F36" s="4" t="s">
        <v>18</v>
      </c>
      <c r="G36" s="4" t="s">
        <v>64</v>
      </c>
      <c r="H36" s="4" t="s">
        <v>36</v>
      </c>
      <c r="I36" s="5" t="s">
        <v>2</v>
      </c>
    </row>
    <row r="37" spans="1:9" x14ac:dyDescent="0.55000000000000004">
      <c r="A37" s="6" t="s">
        <v>3</v>
      </c>
      <c r="B37" s="1">
        <v>116276</v>
      </c>
      <c r="E37">
        <v>25</v>
      </c>
      <c r="F37" s="8">
        <f>E37*B37</f>
        <v>2906900</v>
      </c>
      <c r="G37">
        <v>93507</v>
      </c>
      <c r="H37" s="19">
        <f>G37/(E37*8760)</f>
        <v>0.42697260273972604</v>
      </c>
      <c r="I37" s="9" t="s">
        <v>9</v>
      </c>
    </row>
    <row r="38" spans="1:9" x14ac:dyDescent="0.55000000000000004">
      <c r="A38" s="6" t="s">
        <v>4</v>
      </c>
      <c r="B38" s="1">
        <v>102973</v>
      </c>
      <c r="E38">
        <v>372</v>
      </c>
      <c r="F38" s="8">
        <f>E38*B38</f>
        <v>38305956</v>
      </c>
      <c r="G38">
        <v>305213</v>
      </c>
      <c r="H38" s="19">
        <f>G38/(E38*8760)</f>
        <v>9.3660394265232969E-2</v>
      </c>
      <c r="I38" s="9" t="s">
        <v>10</v>
      </c>
    </row>
    <row r="39" spans="1:9" x14ac:dyDescent="0.55000000000000004">
      <c r="A39" s="6" t="s">
        <v>5</v>
      </c>
      <c r="B39" s="7">
        <v>291720</v>
      </c>
      <c r="E39">
        <v>33</v>
      </c>
      <c r="F39" s="8">
        <f>E39*B39</f>
        <v>9626760</v>
      </c>
      <c r="G39">
        <v>52471</v>
      </c>
      <c r="H39" s="19">
        <f>G39/(E39*8760)</f>
        <v>0.18151030856510308</v>
      </c>
      <c r="I39" s="9" t="s">
        <v>10</v>
      </c>
    </row>
    <row r="40" spans="1:9" ht="14.7" thickBot="1" x14ac:dyDescent="0.6">
      <c r="A40" s="6"/>
      <c r="B40" s="7"/>
      <c r="I40" s="9"/>
    </row>
    <row r="41" spans="1:9" x14ac:dyDescent="0.55000000000000004">
      <c r="A41" s="10" t="s">
        <v>6</v>
      </c>
      <c r="B41" t="s">
        <v>53</v>
      </c>
      <c r="C41" t="s">
        <v>11</v>
      </c>
      <c r="E41" t="s">
        <v>1</v>
      </c>
      <c r="H41" t="s">
        <v>22</v>
      </c>
      <c r="I41" s="5" t="s">
        <v>2</v>
      </c>
    </row>
    <row r="42" spans="1:9" x14ac:dyDescent="0.55000000000000004">
      <c r="A42" s="6" t="s">
        <v>7</v>
      </c>
      <c r="B42" s="1">
        <v>15700</v>
      </c>
      <c r="C42">
        <v>114</v>
      </c>
      <c r="E42">
        <v>538</v>
      </c>
      <c r="F42" s="8">
        <f>E42*B42</f>
        <v>8446600</v>
      </c>
      <c r="G42" s="8"/>
      <c r="H42" s="24">
        <f>E42/70</f>
        <v>7.6857142857142859</v>
      </c>
      <c r="I42" s="9" t="s">
        <v>10</v>
      </c>
    </row>
    <row r="43" spans="1:9" x14ac:dyDescent="0.55000000000000004">
      <c r="A43" s="6" t="s">
        <v>8</v>
      </c>
      <c r="B43" s="1">
        <v>4290</v>
      </c>
      <c r="C43">
        <v>792</v>
      </c>
      <c r="E43">
        <v>1680</v>
      </c>
      <c r="F43" s="8">
        <f>E43*B43</f>
        <v>7207200</v>
      </c>
      <c r="G43" s="8"/>
      <c r="H43">
        <f>E43/70</f>
        <v>24</v>
      </c>
      <c r="I43" s="9" t="s">
        <v>10</v>
      </c>
    </row>
    <row r="44" spans="1:9" ht="14.7" thickBot="1" x14ac:dyDescent="0.6">
      <c r="A44" s="11"/>
      <c r="B44" s="12"/>
      <c r="C44" s="12"/>
      <c r="D44" s="12"/>
      <c r="E44" s="15" t="s">
        <v>19</v>
      </c>
      <c r="F44" s="16">
        <f>SUM(F42:F43,F37:F39)</f>
        <v>66493416</v>
      </c>
      <c r="G44" s="16"/>
      <c r="H44" s="15" t="s">
        <v>20</v>
      </c>
      <c r="I44" s="17">
        <f>F44/$L$1</f>
        <v>152.1285358544238</v>
      </c>
    </row>
    <row r="45" spans="1:9" x14ac:dyDescent="0.55000000000000004">
      <c r="H45" t="s">
        <v>47</v>
      </c>
      <c r="I45" s="21">
        <f>(E38*'Available Land_Plant Land Use'!$D$13+E39*'Available Land_Plant Land Use'!$D$14)/1000000</f>
        <v>7.1908655340000003</v>
      </c>
    </row>
    <row r="46" spans="1:9" ht="14.7" thickBot="1" x14ac:dyDescent="0.6"/>
    <row r="47" spans="1:9" ht="14.7" thickBot="1" x14ac:dyDescent="0.6">
      <c r="A47" s="3" t="s">
        <v>124</v>
      </c>
      <c r="B47" s="39" t="s">
        <v>16</v>
      </c>
      <c r="C47" s="39"/>
      <c r="E47" s="40" t="s">
        <v>17</v>
      </c>
      <c r="F47" s="40"/>
      <c r="G47" s="40"/>
      <c r="H47" s="40"/>
      <c r="I47" s="40"/>
    </row>
    <row r="48" spans="1:9" x14ac:dyDescent="0.55000000000000004">
      <c r="A48" s="18" t="s">
        <v>23</v>
      </c>
      <c r="B48" s="4" t="s">
        <v>0</v>
      </c>
      <c r="C48" s="4"/>
      <c r="D48" s="4"/>
      <c r="E48" s="4" t="s">
        <v>37</v>
      </c>
      <c r="F48" s="4" t="s">
        <v>18</v>
      </c>
      <c r="G48" s="4" t="s">
        <v>64</v>
      </c>
      <c r="H48" s="4" t="s">
        <v>36</v>
      </c>
      <c r="I48" s="5" t="s">
        <v>2</v>
      </c>
    </row>
    <row r="49" spans="1:13" x14ac:dyDescent="0.55000000000000004">
      <c r="A49" s="6" t="s">
        <v>3</v>
      </c>
      <c r="B49" s="14">
        <v>116276</v>
      </c>
      <c r="E49">
        <v>25</v>
      </c>
      <c r="F49" s="8">
        <f>E49*B49</f>
        <v>2906900</v>
      </c>
      <c r="G49">
        <v>93549</v>
      </c>
      <c r="H49" s="19">
        <f>G49/(E49*8760)</f>
        <v>0.42716438356164382</v>
      </c>
      <c r="I49" s="9" t="s">
        <v>9</v>
      </c>
    </row>
    <row r="50" spans="1:13" x14ac:dyDescent="0.55000000000000004">
      <c r="A50" s="6" t="s">
        <v>4</v>
      </c>
      <c r="B50" s="14">
        <v>47196</v>
      </c>
      <c r="E50">
        <v>432</v>
      </c>
      <c r="F50" s="8">
        <f>E50*B50</f>
        <v>20388672</v>
      </c>
      <c r="G50">
        <v>332141</v>
      </c>
      <c r="H50" s="19">
        <f>G50/(E50*8760)</f>
        <v>8.7767683493996274E-2</v>
      </c>
      <c r="I50" s="9" t="s">
        <v>10</v>
      </c>
    </row>
    <row r="51" spans="1:13" x14ac:dyDescent="0.55000000000000004">
      <c r="A51" s="6" t="s">
        <v>5</v>
      </c>
      <c r="B51" s="7">
        <v>291720</v>
      </c>
      <c r="E51">
        <v>18</v>
      </c>
      <c r="F51" s="8">
        <f>E51*B51</f>
        <v>5250960</v>
      </c>
      <c r="G51">
        <v>27798</v>
      </c>
      <c r="H51" s="19">
        <f>G51/(E51*8760)</f>
        <v>0.1762937595129376</v>
      </c>
      <c r="I51" s="9" t="s">
        <v>10</v>
      </c>
    </row>
    <row r="52" spans="1:13" ht="14.7" thickBot="1" x14ac:dyDescent="0.6">
      <c r="A52" s="6"/>
      <c r="B52" s="7"/>
      <c r="I52" s="9"/>
    </row>
    <row r="53" spans="1:13" x14ac:dyDescent="0.55000000000000004">
      <c r="A53" s="10" t="s">
        <v>6</v>
      </c>
      <c r="B53" t="s">
        <v>53</v>
      </c>
      <c r="C53" t="s">
        <v>11</v>
      </c>
      <c r="E53" t="s">
        <v>1</v>
      </c>
      <c r="H53" t="s">
        <v>22</v>
      </c>
      <c r="I53" s="5" t="s">
        <v>2</v>
      </c>
    </row>
    <row r="54" spans="1:13" x14ac:dyDescent="0.55000000000000004">
      <c r="A54" s="6" t="s">
        <v>7</v>
      </c>
      <c r="B54" s="1">
        <v>15700</v>
      </c>
      <c r="C54">
        <v>123</v>
      </c>
      <c r="E54">
        <v>555</v>
      </c>
      <c r="F54" s="8">
        <f>E54*B54</f>
        <v>8713500</v>
      </c>
      <c r="G54" s="8"/>
      <c r="H54" s="24">
        <f>E54/70</f>
        <v>7.9285714285714288</v>
      </c>
      <c r="I54" s="9" t="s">
        <v>10</v>
      </c>
    </row>
    <row r="55" spans="1:13" x14ac:dyDescent="0.55000000000000004">
      <c r="A55" s="6" t="s">
        <v>8</v>
      </c>
      <c r="B55" s="1">
        <v>4290</v>
      </c>
      <c r="C55">
        <v>703</v>
      </c>
      <c r="E55">
        <v>1631</v>
      </c>
      <c r="F55" s="8">
        <f>E55*B55</f>
        <v>6996990</v>
      </c>
      <c r="G55" s="8"/>
      <c r="H55">
        <f>E55/70</f>
        <v>23.3</v>
      </c>
      <c r="I55" s="9" t="s">
        <v>10</v>
      </c>
    </row>
    <row r="56" spans="1:13" ht="14.7" thickBot="1" x14ac:dyDescent="0.6">
      <c r="A56" s="11"/>
      <c r="B56" s="12"/>
      <c r="C56" s="12"/>
      <c r="D56" s="12"/>
      <c r="E56" s="15" t="s">
        <v>19</v>
      </c>
      <c r="F56" s="16">
        <f>SUM(F54:F55,F49:F51)</f>
        <v>44257022</v>
      </c>
      <c r="G56" s="16"/>
      <c r="H56" s="15" t="s">
        <v>20</v>
      </c>
      <c r="I56" s="17">
        <f>F56/$L$1</f>
        <v>101.25447545268275</v>
      </c>
    </row>
    <row r="57" spans="1:13" x14ac:dyDescent="0.55000000000000004">
      <c r="A57" s="3"/>
      <c r="H57" t="s">
        <v>47</v>
      </c>
      <c r="I57" s="21">
        <f>(E50*'Available Land_Plant Land Use'!$D$13+E51*'Available Land_Plant Land Use'!$D$14)/1000000</f>
        <v>7.8161054040000009</v>
      </c>
    </row>
    <row r="58" spans="1:13" ht="14.7" thickBot="1" x14ac:dyDescent="0.6"/>
    <row r="59" spans="1:13" ht="14.7" thickBot="1" x14ac:dyDescent="0.6">
      <c r="A59" s="3" t="s">
        <v>123</v>
      </c>
      <c r="B59" s="39" t="s">
        <v>16</v>
      </c>
      <c r="C59" s="39"/>
      <c r="E59" s="40" t="s">
        <v>17</v>
      </c>
      <c r="F59" s="40"/>
      <c r="G59" s="40"/>
      <c r="H59" s="40"/>
      <c r="I59" s="40"/>
    </row>
    <row r="60" spans="1:13" x14ac:dyDescent="0.55000000000000004">
      <c r="A60" s="18" t="s">
        <v>23</v>
      </c>
      <c r="B60" s="4" t="s">
        <v>0</v>
      </c>
      <c r="C60" s="4"/>
      <c r="D60" s="4"/>
      <c r="E60" s="4" t="s">
        <v>37</v>
      </c>
      <c r="F60" s="4" t="s">
        <v>18</v>
      </c>
      <c r="G60" s="4" t="s">
        <v>64</v>
      </c>
      <c r="H60" s="4" t="s">
        <v>36</v>
      </c>
      <c r="I60" s="5" t="s">
        <v>2</v>
      </c>
      <c r="K60" s="42" t="s">
        <v>126</v>
      </c>
      <c r="L60" s="43"/>
      <c r="M60" s="44"/>
    </row>
    <row r="61" spans="1:13" x14ac:dyDescent="0.55000000000000004">
      <c r="A61" s="6" t="s">
        <v>3</v>
      </c>
      <c r="B61" s="14">
        <v>116276</v>
      </c>
      <c r="E61">
        <v>25</v>
      </c>
      <c r="F61" s="8">
        <f>E61*B61</f>
        <v>2906900</v>
      </c>
      <c r="G61">
        <v>91360</v>
      </c>
      <c r="H61" s="19">
        <f>G61/(E61*8760)</f>
        <v>0.4171689497716895</v>
      </c>
      <c r="I61" s="9" t="s">
        <v>9</v>
      </c>
      <c r="K61" s="27" t="s">
        <v>70</v>
      </c>
      <c r="L61" s="27" t="s">
        <v>127</v>
      </c>
      <c r="M61" s="27" t="s">
        <v>128</v>
      </c>
    </row>
    <row r="62" spans="1:13" x14ac:dyDescent="0.55000000000000004">
      <c r="A62" s="6" t="s">
        <v>4</v>
      </c>
      <c r="B62" s="14">
        <v>75772</v>
      </c>
      <c r="E62">
        <v>402</v>
      </c>
      <c r="F62" s="8">
        <f>E62*B62</f>
        <v>30460344</v>
      </c>
      <c r="G62">
        <v>327859</v>
      </c>
      <c r="H62" s="19">
        <f>G62/(E62*8760)</f>
        <v>9.3101558417955879E-2</v>
      </c>
      <c r="I62" s="9" t="s">
        <v>10</v>
      </c>
      <c r="K62" s="28" t="s">
        <v>74</v>
      </c>
      <c r="L62" s="29">
        <f>I68</f>
        <v>133.93971594721398</v>
      </c>
      <c r="M62" s="29">
        <f>I81</f>
        <v>121.16238075859813</v>
      </c>
    </row>
    <row r="63" spans="1:13" x14ac:dyDescent="0.55000000000000004">
      <c r="A63" s="6" t="s">
        <v>5</v>
      </c>
      <c r="B63" s="7">
        <v>350107</v>
      </c>
      <c r="E63">
        <v>22</v>
      </c>
      <c r="F63" s="8">
        <f>E63*B63</f>
        <v>7702354</v>
      </c>
      <c r="G63">
        <v>33822</v>
      </c>
      <c r="H63" s="19">
        <f>G63/(E63*8760)</f>
        <v>0.17549813200498132</v>
      </c>
      <c r="I63" s="9" t="s">
        <v>10</v>
      </c>
      <c r="K63" s="28" t="s">
        <v>75</v>
      </c>
      <c r="L63" s="30">
        <f>I69</f>
        <v>7.411419404000001</v>
      </c>
      <c r="M63" s="30">
        <f>I82</f>
        <v>7.2479262600000007</v>
      </c>
    </row>
    <row r="64" spans="1:13" ht="14.7" thickBot="1" x14ac:dyDescent="0.6">
      <c r="A64" s="6"/>
      <c r="B64" s="7"/>
      <c r="I64" s="9"/>
      <c r="K64" s="28" t="s">
        <v>76</v>
      </c>
      <c r="L64" s="32">
        <f>E62</f>
        <v>402</v>
      </c>
      <c r="M64" s="38">
        <f>E75</f>
        <v>380</v>
      </c>
    </row>
    <row r="65" spans="1:13" x14ac:dyDescent="0.55000000000000004">
      <c r="A65" s="10" t="s">
        <v>6</v>
      </c>
      <c r="B65" t="s">
        <v>53</v>
      </c>
      <c r="C65" t="s">
        <v>11</v>
      </c>
      <c r="E65" t="s">
        <v>1</v>
      </c>
      <c r="H65" t="s">
        <v>22</v>
      </c>
      <c r="I65" s="5" t="s">
        <v>2</v>
      </c>
      <c r="K65" s="28" t="s">
        <v>77</v>
      </c>
      <c r="L65" s="32">
        <f>E61</f>
        <v>25</v>
      </c>
      <c r="M65" s="32">
        <f>E74</f>
        <v>25</v>
      </c>
    </row>
    <row r="66" spans="1:13" x14ac:dyDescent="0.55000000000000004">
      <c r="A66" s="6" t="s">
        <v>7</v>
      </c>
      <c r="B66" s="1">
        <v>15700</v>
      </c>
      <c r="C66">
        <v>121</v>
      </c>
      <c r="E66">
        <v>562</v>
      </c>
      <c r="F66" s="8">
        <f>E66*B66</f>
        <v>8823400</v>
      </c>
      <c r="G66" s="8"/>
      <c r="H66" s="24">
        <f>E66/70</f>
        <v>8.0285714285714285</v>
      </c>
      <c r="I66" s="9" t="s">
        <v>10</v>
      </c>
      <c r="K66" s="28" t="s">
        <v>80</v>
      </c>
      <c r="L66" s="32">
        <f>E63</f>
        <v>22</v>
      </c>
      <c r="M66" s="32">
        <f>E76</f>
        <v>30</v>
      </c>
    </row>
    <row r="67" spans="1:13" x14ac:dyDescent="0.55000000000000004">
      <c r="A67" s="6" t="s">
        <v>8</v>
      </c>
      <c r="B67" s="1">
        <v>5149</v>
      </c>
      <c r="C67">
        <v>676</v>
      </c>
      <c r="E67">
        <v>1680</v>
      </c>
      <c r="F67" s="8">
        <f>E67*B67</f>
        <v>8650320</v>
      </c>
      <c r="G67" s="8"/>
      <c r="H67">
        <f>E67/70</f>
        <v>24</v>
      </c>
      <c r="I67" s="9" t="s">
        <v>10</v>
      </c>
      <c r="K67" s="28" t="s">
        <v>81</v>
      </c>
      <c r="L67" s="33" t="s">
        <v>129</v>
      </c>
      <c r="M67" s="33" t="s">
        <v>130</v>
      </c>
    </row>
    <row r="68" spans="1:13" ht="14.7" thickBot="1" x14ac:dyDescent="0.6">
      <c r="A68" s="11"/>
      <c r="B68" s="12"/>
      <c r="C68" s="12"/>
      <c r="D68" s="12"/>
      <c r="E68" s="15" t="s">
        <v>19</v>
      </c>
      <c r="F68" s="16">
        <f>SUM(F66:F67,F61:F63)</f>
        <v>58543318</v>
      </c>
      <c r="G68" s="16"/>
      <c r="H68" s="15" t="s">
        <v>20</v>
      </c>
      <c r="I68" s="17">
        <f>F68/$L$1</f>
        <v>133.93971594721398</v>
      </c>
      <c r="K68" s="28" t="s">
        <v>82</v>
      </c>
      <c r="L68" s="33" t="s">
        <v>85</v>
      </c>
      <c r="M68" s="33" t="s">
        <v>85</v>
      </c>
    </row>
    <row r="69" spans="1:13" x14ac:dyDescent="0.55000000000000004">
      <c r="A69" s="3"/>
      <c r="H69" t="s">
        <v>47</v>
      </c>
      <c r="I69" s="21">
        <f>(E62*'Available Land_Plant Land Use'!$D$13+E63*'Available Land_Plant Land Use'!$D$14)/1000000</f>
        <v>7.411419404000001</v>
      </c>
    </row>
    <row r="71" spans="1:13" ht="14.7" thickBot="1" x14ac:dyDescent="0.6"/>
    <row r="72" spans="1:13" ht="14.7" thickBot="1" x14ac:dyDescent="0.6">
      <c r="A72" s="3" t="s">
        <v>125</v>
      </c>
      <c r="B72" s="39" t="s">
        <v>16</v>
      </c>
      <c r="C72" s="39"/>
      <c r="E72" s="40" t="s">
        <v>17</v>
      </c>
      <c r="F72" s="40"/>
      <c r="G72" s="40"/>
      <c r="H72" s="40"/>
      <c r="I72" s="40"/>
    </row>
    <row r="73" spans="1:13" x14ac:dyDescent="0.55000000000000004">
      <c r="A73" s="18" t="s">
        <v>23</v>
      </c>
      <c r="B73" s="4" t="s">
        <v>0</v>
      </c>
      <c r="C73" s="4"/>
      <c r="D73" s="4"/>
      <c r="E73" s="4" t="s">
        <v>37</v>
      </c>
      <c r="F73" s="4" t="s">
        <v>18</v>
      </c>
      <c r="G73" s="4" t="s">
        <v>64</v>
      </c>
      <c r="H73" s="4" t="s">
        <v>36</v>
      </c>
      <c r="I73" s="5" t="s">
        <v>2</v>
      </c>
    </row>
    <row r="74" spans="1:13" x14ac:dyDescent="0.55000000000000004">
      <c r="A74" s="6" t="s">
        <v>3</v>
      </c>
      <c r="B74" s="14">
        <v>116276</v>
      </c>
      <c r="E74">
        <v>25</v>
      </c>
      <c r="F74" s="8">
        <f>E74*B74</f>
        <v>2906900</v>
      </c>
      <c r="G74">
        <v>91360</v>
      </c>
      <c r="H74" s="19">
        <f>G74/(E74*8760)</f>
        <v>0.4171689497716895</v>
      </c>
      <c r="I74" s="9" t="s">
        <v>9</v>
      </c>
    </row>
    <row r="75" spans="1:13" x14ac:dyDescent="0.55000000000000004">
      <c r="A75" s="6" t="s">
        <v>4</v>
      </c>
      <c r="B75" s="14">
        <v>75772</v>
      </c>
      <c r="E75">
        <v>380</v>
      </c>
      <c r="F75" s="8">
        <f>E75*B75</f>
        <v>28793360</v>
      </c>
      <c r="G75">
        <v>310683</v>
      </c>
      <c r="H75" s="19">
        <f>G75/(E75*8760)</f>
        <v>9.3331831290555153E-2</v>
      </c>
      <c r="I75" s="9" t="s">
        <v>10</v>
      </c>
    </row>
    <row r="76" spans="1:13" x14ac:dyDescent="0.55000000000000004">
      <c r="A76" s="6" t="s">
        <v>5</v>
      </c>
      <c r="B76" s="7">
        <v>233405</v>
      </c>
      <c r="E76">
        <v>30</v>
      </c>
      <c r="F76" s="8">
        <f>E76*B76</f>
        <v>7002150</v>
      </c>
      <c r="G76">
        <v>47524</v>
      </c>
      <c r="H76" s="19">
        <f>G76/(E76*8760)</f>
        <v>0.18083713850837138</v>
      </c>
      <c r="I76" s="9" t="s">
        <v>10</v>
      </c>
    </row>
    <row r="77" spans="1:13" ht="14.7" thickBot="1" x14ac:dyDescent="0.6">
      <c r="A77" s="6"/>
      <c r="B77" s="7"/>
      <c r="I77" s="9"/>
    </row>
    <row r="78" spans="1:13" x14ac:dyDescent="0.55000000000000004">
      <c r="A78" s="10" t="s">
        <v>6</v>
      </c>
      <c r="B78" t="s">
        <v>53</v>
      </c>
      <c r="C78" t="s">
        <v>11</v>
      </c>
      <c r="E78" t="s">
        <v>1</v>
      </c>
      <c r="H78" t="s">
        <v>22</v>
      </c>
      <c r="I78" s="5" t="s">
        <v>2</v>
      </c>
    </row>
    <row r="79" spans="1:13" x14ac:dyDescent="0.55000000000000004">
      <c r="A79" s="6" t="s">
        <v>7</v>
      </c>
      <c r="B79" s="1">
        <v>15700</v>
      </c>
      <c r="C79">
        <v>116</v>
      </c>
      <c r="E79">
        <v>541</v>
      </c>
      <c r="F79" s="8">
        <f>E79*B79</f>
        <v>8493700</v>
      </c>
      <c r="G79" s="8"/>
      <c r="H79" s="24">
        <f>E79/70</f>
        <v>7.7285714285714286</v>
      </c>
      <c r="I79" s="9" t="s">
        <v>10</v>
      </c>
    </row>
    <row r="80" spans="1:13" x14ac:dyDescent="0.55000000000000004">
      <c r="A80" s="6" t="s">
        <v>8</v>
      </c>
      <c r="B80" s="1">
        <v>3430</v>
      </c>
      <c r="C80">
        <v>865</v>
      </c>
      <c r="E80">
        <v>1680</v>
      </c>
      <c r="F80" s="8">
        <f>E80*B80</f>
        <v>5762400</v>
      </c>
      <c r="G80" s="8"/>
      <c r="H80">
        <f>E80/70</f>
        <v>24</v>
      </c>
      <c r="I80" s="9" t="s">
        <v>10</v>
      </c>
    </row>
    <row r="81" spans="1:9" ht="14.7" thickBot="1" x14ac:dyDescent="0.6">
      <c r="A81" s="11"/>
      <c r="B81" s="12"/>
      <c r="C81" s="12"/>
      <c r="D81" s="12"/>
      <c r="E81" s="15" t="s">
        <v>19</v>
      </c>
      <c r="F81" s="16">
        <f>SUM(F79:F80,F74:F76)</f>
        <v>52958510</v>
      </c>
      <c r="G81" s="16"/>
      <c r="H81" s="15" t="s">
        <v>20</v>
      </c>
      <c r="I81" s="17">
        <f>F81/$L$1</f>
        <v>121.16238075859813</v>
      </c>
    </row>
    <row r="82" spans="1:9" x14ac:dyDescent="0.55000000000000004">
      <c r="A82" s="3"/>
      <c r="H82" t="s">
        <v>47</v>
      </c>
      <c r="I82" s="21">
        <f>(E75*'Available Land_Plant Land Use'!$D$13+E76*'Available Land_Plant Land Use'!$D$14)/1000000</f>
        <v>7.2479262600000007</v>
      </c>
    </row>
  </sheetData>
  <mergeCells count="12">
    <mergeCell ref="B72:C72"/>
    <mergeCell ref="E72:I72"/>
    <mergeCell ref="E3:I3"/>
    <mergeCell ref="B3:C3"/>
    <mergeCell ref="N5:Q5"/>
    <mergeCell ref="B35:C35"/>
    <mergeCell ref="E35:I35"/>
    <mergeCell ref="K60:M60"/>
    <mergeCell ref="B47:C47"/>
    <mergeCell ref="E47:I47"/>
    <mergeCell ref="B59:C59"/>
    <mergeCell ref="E59:I5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2434C-F925-42B2-8172-E12B815518D0}">
  <dimension ref="A1:Y124"/>
  <sheetViews>
    <sheetView topLeftCell="M1" zoomScaleNormal="100" workbookViewId="0">
      <selection activeCell="U3" sqref="U3:Y13"/>
    </sheetView>
  </sheetViews>
  <sheetFormatPr defaultRowHeight="14.4" x14ac:dyDescent="0.55000000000000004"/>
  <cols>
    <col min="1" max="1" width="41.68359375" bestFit="1" customWidth="1"/>
    <col min="2" max="2" width="17.83984375" bestFit="1" customWidth="1"/>
    <col min="3" max="3" width="19.41796875" bestFit="1" customWidth="1"/>
    <col min="5" max="5" width="10.5234375" bestFit="1" customWidth="1"/>
    <col min="6" max="6" width="16.62890625" bestFit="1" customWidth="1"/>
    <col min="7" max="7" width="21.47265625" bestFit="1" customWidth="1"/>
    <col min="8" max="8" width="21.47265625" customWidth="1"/>
    <col min="9" max="9" width="8.7890625" bestFit="1" customWidth="1"/>
    <col min="12" max="12" width="38.89453125" bestFit="1" customWidth="1"/>
    <col min="13" max="13" width="13.3671875" bestFit="1" customWidth="1"/>
    <col min="14" max="14" width="21.89453125" bestFit="1" customWidth="1"/>
    <col min="15" max="15" width="22.578125" bestFit="1" customWidth="1"/>
    <col min="16" max="16" width="10.62890625" bestFit="1" customWidth="1"/>
    <col min="20" max="20" width="15.9453125" bestFit="1" customWidth="1"/>
    <col min="21" max="21" width="37.3671875" bestFit="1" customWidth="1"/>
    <col min="22" max="23" width="15.05078125" bestFit="1" customWidth="1"/>
    <col min="24" max="24" width="17.1015625" bestFit="1" customWidth="1"/>
    <col min="25" max="25" width="10.62890625" bestFit="1" customWidth="1"/>
  </cols>
  <sheetData>
    <row r="1" spans="1:25" x14ac:dyDescent="0.55000000000000004">
      <c r="A1" t="s">
        <v>65</v>
      </c>
      <c r="K1" t="s">
        <v>21</v>
      </c>
      <c r="L1">
        <v>437087.06999999972</v>
      </c>
    </row>
    <row r="2" spans="1:25" ht="14.7" thickBot="1" x14ac:dyDescent="0.6"/>
    <row r="3" spans="1:25" ht="14.7" thickBot="1" x14ac:dyDescent="0.6">
      <c r="A3" s="3" t="s">
        <v>34</v>
      </c>
      <c r="B3" s="39" t="s">
        <v>16</v>
      </c>
      <c r="C3" s="39"/>
      <c r="E3" s="40" t="s">
        <v>17</v>
      </c>
      <c r="F3" s="40"/>
      <c r="G3" s="40"/>
      <c r="H3" s="40"/>
      <c r="I3" s="40"/>
      <c r="T3" t="s">
        <v>68</v>
      </c>
      <c r="U3" s="41" t="s">
        <v>93</v>
      </c>
      <c r="V3" s="41"/>
      <c r="W3" s="41"/>
      <c r="X3" s="41"/>
      <c r="Y3" s="41"/>
    </row>
    <row r="4" spans="1:25" x14ac:dyDescent="0.55000000000000004">
      <c r="A4" s="18" t="s">
        <v>23</v>
      </c>
      <c r="B4" s="4" t="s">
        <v>27</v>
      </c>
      <c r="C4" s="4" t="s">
        <v>28</v>
      </c>
      <c r="D4" s="4"/>
      <c r="E4" s="4" t="s">
        <v>37</v>
      </c>
      <c r="F4" s="4" t="s">
        <v>18</v>
      </c>
      <c r="G4" s="4" t="s">
        <v>32</v>
      </c>
      <c r="H4" s="4" t="s">
        <v>36</v>
      </c>
      <c r="I4" s="5" t="s">
        <v>2</v>
      </c>
      <c r="U4" s="27" t="s">
        <v>70</v>
      </c>
      <c r="V4" s="27" t="s">
        <v>34</v>
      </c>
      <c r="W4" s="27" t="s">
        <v>30</v>
      </c>
      <c r="X4" s="27" t="s">
        <v>33</v>
      </c>
      <c r="Y4" s="27" t="s">
        <v>35</v>
      </c>
    </row>
    <row r="5" spans="1:25" x14ac:dyDescent="0.55000000000000004">
      <c r="A5" s="6" t="s">
        <v>3</v>
      </c>
      <c r="B5" s="14">
        <v>116276</v>
      </c>
      <c r="E5">
        <v>91</v>
      </c>
      <c r="F5" s="8">
        <f>E5*B5</f>
        <v>10581116</v>
      </c>
      <c r="G5">
        <v>298942</v>
      </c>
      <c r="H5" s="19">
        <f t="shared" ref="H5:H7" si="0">G5/(E5*8760)</f>
        <v>0.37500878117316472</v>
      </c>
      <c r="I5" s="9" t="s">
        <v>10</v>
      </c>
      <c r="U5" s="28" t="s">
        <v>74</v>
      </c>
      <c r="V5" s="29">
        <f>I13</f>
        <v>83.333540843475475</v>
      </c>
      <c r="W5" s="29">
        <f>I28</f>
        <v>99.387112961268855</v>
      </c>
      <c r="X5" s="29">
        <f>I43</f>
        <v>110.16476419675382</v>
      </c>
      <c r="Y5" s="29">
        <f>I58</f>
        <v>116.74272588296888</v>
      </c>
    </row>
    <row r="6" spans="1:25" x14ac:dyDescent="0.55000000000000004">
      <c r="A6" s="6" t="s">
        <v>4</v>
      </c>
      <c r="B6" s="14">
        <v>75772</v>
      </c>
      <c r="E6">
        <v>103</v>
      </c>
      <c r="F6" s="8">
        <f>E6*B6</f>
        <v>7804516</v>
      </c>
      <c r="G6">
        <v>87951</v>
      </c>
      <c r="H6" s="19">
        <f t="shared" si="0"/>
        <v>9.7476393137385292E-2</v>
      </c>
      <c r="I6" s="9" t="s">
        <v>10</v>
      </c>
      <c r="U6" s="28" t="s">
        <v>75</v>
      </c>
      <c r="V6" s="30">
        <f>I14</f>
        <v>1.7561955999000003</v>
      </c>
      <c r="W6" s="30">
        <f>I29</f>
        <v>4.3499698140000005</v>
      </c>
      <c r="X6" s="31">
        <f>I44</f>
        <v>5.1706730219999999</v>
      </c>
      <c r="Y6" s="31">
        <f>I59</f>
        <v>5.6745070919999998</v>
      </c>
    </row>
    <row r="7" spans="1:25" x14ac:dyDescent="0.55000000000000004">
      <c r="A7" s="6" t="s">
        <v>5</v>
      </c>
      <c r="B7" s="7">
        <v>291720</v>
      </c>
      <c r="E7">
        <v>0.21</v>
      </c>
      <c r="F7" s="8">
        <f>E7*B7</f>
        <v>61261.2</v>
      </c>
      <c r="G7">
        <v>335</v>
      </c>
      <c r="H7" s="19">
        <f t="shared" si="0"/>
        <v>0.18210480539247664</v>
      </c>
      <c r="I7" s="9" t="s">
        <v>10</v>
      </c>
      <c r="U7" s="28" t="s">
        <v>76</v>
      </c>
      <c r="V7" s="32">
        <f>E6</f>
        <v>103</v>
      </c>
      <c r="W7" s="32">
        <f>E21</f>
        <v>242</v>
      </c>
      <c r="X7" s="32">
        <f>E36</f>
        <v>281</v>
      </c>
      <c r="Y7" s="32">
        <f>E51</f>
        <v>306</v>
      </c>
    </row>
    <row r="8" spans="1:25" x14ac:dyDescent="0.55000000000000004">
      <c r="A8" s="6" t="s">
        <v>31</v>
      </c>
      <c r="B8" s="7">
        <v>154460</v>
      </c>
      <c r="C8">
        <v>170</v>
      </c>
      <c r="E8">
        <v>37.5</v>
      </c>
      <c r="F8" s="8">
        <f>E8*B8+G8*C8</f>
        <v>14892350</v>
      </c>
      <c r="G8">
        <v>53530</v>
      </c>
      <c r="H8" s="19">
        <f>G8/(E8*8760)</f>
        <v>0.16295281582952817</v>
      </c>
      <c r="I8" s="9" t="s">
        <v>10</v>
      </c>
      <c r="U8" s="28" t="s">
        <v>77</v>
      </c>
      <c r="V8" s="32">
        <f>E5</f>
        <v>91</v>
      </c>
      <c r="W8" s="32">
        <f>E20</f>
        <v>53</v>
      </c>
      <c r="X8" s="32">
        <f>E35</f>
        <v>62</v>
      </c>
      <c r="Y8" s="32">
        <f>E50</f>
        <v>69</v>
      </c>
    </row>
    <row r="9" spans="1:25" ht="14.7" thickBot="1" x14ac:dyDescent="0.6">
      <c r="A9" s="6"/>
      <c r="B9" s="7"/>
      <c r="I9" s="9"/>
      <c r="U9" s="28" t="s">
        <v>80</v>
      </c>
      <c r="V9" s="32">
        <f>E7</f>
        <v>0.21</v>
      </c>
      <c r="W9" s="32">
        <f>E22</f>
        <v>9</v>
      </c>
      <c r="X9" s="32">
        <f>E37</f>
        <v>15</v>
      </c>
      <c r="Y9" s="32">
        <f>E52</f>
        <v>18</v>
      </c>
    </row>
    <row r="10" spans="1:25" x14ac:dyDescent="0.55000000000000004">
      <c r="A10" s="10" t="s">
        <v>6</v>
      </c>
      <c r="B10" t="s">
        <v>54</v>
      </c>
      <c r="C10" t="s">
        <v>11</v>
      </c>
      <c r="E10" t="s">
        <v>1</v>
      </c>
      <c r="G10" t="s">
        <v>22</v>
      </c>
      <c r="I10" s="5" t="s">
        <v>2</v>
      </c>
      <c r="U10" s="28" t="s">
        <v>91</v>
      </c>
      <c r="V10" s="32">
        <f>E8</f>
        <v>37.5</v>
      </c>
      <c r="W10" s="32">
        <f>E23</f>
        <v>10</v>
      </c>
      <c r="X10" s="32">
        <f>E38</f>
        <v>5</v>
      </c>
      <c r="Y10" s="32">
        <f>E53</f>
        <v>3</v>
      </c>
    </row>
    <row r="11" spans="1:25" x14ac:dyDescent="0.55000000000000004">
      <c r="A11" s="6" t="s">
        <v>7</v>
      </c>
      <c r="B11" s="1">
        <v>15700</v>
      </c>
      <c r="C11">
        <v>0</v>
      </c>
      <c r="E11">
        <v>182</v>
      </c>
      <c r="F11" s="8">
        <f>E11*B11</f>
        <v>2857400</v>
      </c>
      <c r="G11" s="24">
        <f>E11/70</f>
        <v>2.6</v>
      </c>
      <c r="I11" s="9" t="s">
        <v>10</v>
      </c>
      <c r="U11" s="28" t="s">
        <v>81</v>
      </c>
      <c r="V11" s="33" t="s">
        <v>87</v>
      </c>
      <c r="W11" s="33" t="s">
        <v>89</v>
      </c>
      <c r="X11" s="33" t="s">
        <v>89</v>
      </c>
      <c r="Y11" s="33" t="s">
        <v>89</v>
      </c>
    </row>
    <row r="12" spans="1:25" x14ac:dyDescent="0.55000000000000004">
      <c r="A12" s="6" t="s">
        <v>8</v>
      </c>
      <c r="B12" s="1">
        <v>4290</v>
      </c>
      <c r="C12">
        <v>0</v>
      </c>
      <c r="E12">
        <v>53</v>
      </c>
      <c r="F12" s="8">
        <f>E12*B12</f>
        <v>227370</v>
      </c>
      <c r="G12" s="24">
        <f>E12/70</f>
        <v>0.75714285714285712</v>
      </c>
      <c r="I12" s="9" t="s">
        <v>10</v>
      </c>
      <c r="U12" s="28" t="s">
        <v>82</v>
      </c>
      <c r="V12" s="33" t="s">
        <v>88</v>
      </c>
      <c r="W12" s="33" t="s">
        <v>90</v>
      </c>
      <c r="X12" s="33" t="s">
        <v>85</v>
      </c>
      <c r="Y12" s="33" t="s">
        <v>85</v>
      </c>
    </row>
    <row r="13" spans="1:25" ht="14.7" thickBot="1" x14ac:dyDescent="0.6">
      <c r="A13" s="11"/>
      <c r="B13" s="12"/>
      <c r="C13" s="12"/>
      <c r="D13" s="12"/>
      <c r="E13" s="15" t="s">
        <v>19</v>
      </c>
      <c r="F13" s="16">
        <f>SUM(F11:F12,F5:F8)</f>
        <v>36424013.200000003</v>
      </c>
      <c r="G13" s="15"/>
      <c r="H13" s="15" t="s">
        <v>20</v>
      </c>
      <c r="I13" s="17">
        <f>F13/$L$1</f>
        <v>83.333540843475475</v>
      </c>
      <c r="U13" s="28" t="s">
        <v>92</v>
      </c>
      <c r="V13" s="32">
        <v>88</v>
      </c>
      <c r="W13" s="32">
        <v>97</v>
      </c>
      <c r="X13" s="32">
        <v>99</v>
      </c>
      <c r="Y13" s="32">
        <v>99.6</v>
      </c>
    </row>
    <row r="14" spans="1:25" x14ac:dyDescent="0.55000000000000004">
      <c r="G14" s="23">
        <f>1-G8/$L$1</f>
        <v>0.87753012231636129</v>
      </c>
      <c r="H14" t="s">
        <v>47</v>
      </c>
      <c r="I14" s="21">
        <f>(E6*'Available Land_Plant Land Use'!$D$13+E7*'Available Land_Plant Land Use'!$D$14)/1000000</f>
        <v>1.7561955999000003</v>
      </c>
    </row>
    <row r="15" spans="1:25" x14ac:dyDescent="0.55000000000000004">
      <c r="G15" t="s">
        <v>66</v>
      </c>
    </row>
    <row r="17" spans="1:9" ht="14.7" thickBot="1" x14ac:dyDescent="0.6"/>
    <row r="18" spans="1:9" ht="14.7" thickBot="1" x14ac:dyDescent="0.6">
      <c r="A18" s="3" t="s">
        <v>30</v>
      </c>
      <c r="B18" s="39" t="s">
        <v>16</v>
      </c>
      <c r="C18" s="39"/>
      <c r="E18" s="40" t="s">
        <v>17</v>
      </c>
      <c r="F18" s="40"/>
      <c r="G18" s="40"/>
      <c r="H18" s="40"/>
      <c r="I18" s="40"/>
    </row>
    <row r="19" spans="1:9" x14ac:dyDescent="0.55000000000000004">
      <c r="A19" s="18" t="s">
        <v>23</v>
      </c>
      <c r="B19" s="4" t="s">
        <v>27</v>
      </c>
      <c r="C19" s="4" t="s">
        <v>28</v>
      </c>
      <c r="D19" s="4"/>
      <c r="E19" s="4" t="s">
        <v>37</v>
      </c>
      <c r="F19" s="4" t="s">
        <v>18</v>
      </c>
      <c r="G19" s="4" t="s">
        <v>32</v>
      </c>
      <c r="H19" s="4" t="s">
        <v>36</v>
      </c>
      <c r="I19" s="5" t="s">
        <v>2</v>
      </c>
    </row>
    <row r="20" spans="1:9" x14ac:dyDescent="0.55000000000000004">
      <c r="A20" s="6" t="s">
        <v>3</v>
      </c>
      <c r="B20" s="14">
        <v>116276</v>
      </c>
      <c r="E20">
        <v>53</v>
      </c>
      <c r="F20" s="8">
        <f>E20*B20</f>
        <v>6162628</v>
      </c>
      <c r="G20">
        <v>197572</v>
      </c>
      <c r="H20" s="19">
        <f t="shared" ref="H20:H22" si="1">G20/(E20*8760)</f>
        <v>0.42554492978375119</v>
      </c>
      <c r="I20" s="9" t="s">
        <v>10</v>
      </c>
    </row>
    <row r="21" spans="1:9" x14ac:dyDescent="0.55000000000000004">
      <c r="A21" s="6" t="s">
        <v>4</v>
      </c>
      <c r="B21" s="14">
        <v>75772</v>
      </c>
      <c r="E21">
        <v>242</v>
      </c>
      <c r="F21" s="8">
        <f>E21*B21</f>
        <v>18336824</v>
      </c>
      <c r="G21">
        <v>223207</v>
      </c>
      <c r="H21" s="19">
        <f t="shared" si="1"/>
        <v>0.10529029397335748</v>
      </c>
      <c r="I21" s="9" t="s">
        <v>10</v>
      </c>
    </row>
    <row r="22" spans="1:9" x14ac:dyDescent="0.55000000000000004">
      <c r="A22" s="6" t="s">
        <v>5</v>
      </c>
      <c r="B22" s="7">
        <v>291720</v>
      </c>
      <c r="E22">
        <v>9</v>
      </c>
      <c r="F22" s="8">
        <f>E22*B22</f>
        <v>2625480</v>
      </c>
      <c r="G22">
        <v>14152</v>
      </c>
      <c r="H22" s="19">
        <f t="shared" si="1"/>
        <v>0.17950279046169457</v>
      </c>
      <c r="I22" s="9" t="s">
        <v>10</v>
      </c>
    </row>
    <row r="23" spans="1:9" x14ac:dyDescent="0.55000000000000004">
      <c r="A23" s="6" t="s">
        <v>31</v>
      </c>
      <c r="B23" s="7">
        <v>154460</v>
      </c>
      <c r="C23">
        <v>170</v>
      </c>
      <c r="E23">
        <v>10</v>
      </c>
      <c r="F23" s="8">
        <f>E23*B23+G23*C23</f>
        <v>3728760</v>
      </c>
      <c r="G23">
        <v>12848</v>
      </c>
      <c r="H23" s="19">
        <f>G23/(E23*8760)</f>
        <v>0.14666666666666667</v>
      </c>
      <c r="I23" s="9" t="s">
        <v>9</v>
      </c>
    </row>
    <row r="24" spans="1:9" ht="14.7" thickBot="1" x14ac:dyDescent="0.6">
      <c r="A24" s="6"/>
      <c r="B24" s="7"/>
      <c r="I24" s="9"/>
    </row>
    <row r="25" spans="1:9" x14ac:dyDescent="0.55000000000000004">
      <c r="A25" s="10" t="s">
        <v>6</v>
      </c>
      <c r="B25" t="s">
        <v>54</v>
      </c>
      <c r="C25" t="s">
        <v>11</v>
      </c>
      <c r="E25" t="s">
        <v>1</v>
      </c>
      <c r="G25" t="s">
        <v>22</v>
      </c>
      <c r="I25" s="5" t="s">
        <v>2</v>
      </c>
    </row>
    <row r="26" spans="1:9" x14ac:dyDescent="0.55000000000000004">
      <c r="A26" s="6" t="s">
        <v>7</v>
      </c>
      <c r="B26" s="1">
        <v>15700</v>
      </c>
      <c r="C26">
        <v>27</v>
      </c>
      <c r="E26">
        <v>420</v>
      </c>
      <c r="F26" s="8">
        <f>E26*B26</f>
        <v>6594000</v>
      </c>
      <c r="G26">
        <f>E26/70</f>
        <v>6</v>
      </c>
      <c r="I26" s="9" t="s">
        <v>9</v>
      </c>
    </row>
    <row r="27" spans="1:9" x14ac:dyDescent="0.55000000000000004">
      <c r="A27" s="6" t="s">
        <v>8</v>
      </c>
      <c r="B27" s="1">
        <v>4290</v>
      </c>
      <c r="C27">
        <v>0</v>
      </c>
      <c r="E27">
        <v>1397</v>
      </c>
      <c r="F27" s="8">
        <f>E27*B27</f>
        <v>5993130</v>
      </c>
      <c r="G27" s="24">
        <f>E27/70</f>
        <v>19.957142857142856</v>
      </c>
      <c r="I27" s="9" t="s">
        <v>10</v>
      </c>
    </row>
    <row r="28" spans="1:9" ht="14.7" thickBot="1" x14ac:dyDescent="0.6">
      <c r="A28" s="11"/>
      <c r="B28" s="12"/>
      <c r="C28" s="12"/>
      <c r="D28" s="12"/>
      <c r="E28" s="15" t="s">
        <v>19</v>
      </c>
      <c r="F28" s="16">
        <f>SUM(F26:F27,F20:F23)</f>
        <v>43440822</v>
      </c>
      <c r="G28" s="15"/>
      <c r="H28" s="15" t="s">
        <v>20</v>
      </c>
      <c r="I28" s="17">
        <f>F28/$L$1</f>
        <v>99.387112961268855</v>
      </c>
    </row>
    <row r="29" spans="1:9" x14ac:dyDescent="0.55000000000000004">
      <c r="G29" s="23">
        <f>1- G23/$L$1</f>
        <v>0.97060539905698884</v>
      </c>
      <c r="H29" t="s">
        <v>47</v>
      </c>
      <c r="I29" s="21">
        <f>(E21*'Available Land_Plant Land Use'!$D$13+E22*'Available Land_Plant Land Use'!$D$14)/1000000</f>
        <v>4.3499698140000005</v>
      </c>
    </row>
    <row r="30" spans="1:9" x14ac:dyDescent="0.55000000000000004">
      <c r="G30" t="s">
        <v>66</v>
      </c>
    </row>
    <row r="32" spans="1:9" ht="14.7" thickBot="1" x14ac:dyDescent="0.6"/>
    <row r="33" spans="1:9" ht="14.7" thickBot="1" x14ac:dyDescent="0.6">
      <c r="A33" s="3" t="s">
        <v>33</v>
      </c>
      <c r="B33" s="39" t="s">
        <v>16</v>
      </c>
      <c r="C33" s="39"/>
      <c r="E33" s="40" t="s">
        <v>17</v>
      </c>
      <c r="F33" s="40"/>
      <c r="G33" s="40"/>
      <c r="H33" s="40"/>
      <c r="I33" s="40"/>
    </row>
    <row r="34" spans="1:9" x14ac:dyDescent="0.55000000000000004">
      <c r="A34" s="18" t="s">
        <v>23</v>
      </c>
      <c r="B34" s="4" t="s">
        <v>27</v>
      </c>
      <c r="C34" s="4" t="s">
        <v>28</v>
      </c>
      <c r="D34" s="4"/>
      <c r="E34" s="4" t="s">
        <v>37</v>
      </c>
      <c r="F34" s="4" t="s">
        <v>18</v>
      </c>
      <c r="G34" s="4" t="s">
        <v>32</v>
      </c>
      <c r="H34" s="4" t="s">
        <v>36</v>
      </c>
      <c r="I34" s="5" t="s">
        <v>2</v>
      </c>
    </row>
    <row r="35" spans="1:9" x14ac:dyDescent="0.55000000000000004">
      <c r="A35" s="6" t="s">
        <v>3</v>
      </c>
      <c r="B35" s="14">
        <v>116276</v>
      </c>
      <c r="E35">
        <v>62</v>
      </c>
      <c r="F35" s="8">
        <f>E35*B35</f>
        <v>7209112</v>
      </c>
      <c r="G35">
        <v>226886</v>
      </c>
      <c r="H35" s="19">
        <f t="shared" ref="H35:H37" si="2">G35/(E35*8760)</f>
        <v>0.41774561791132714</v>
      </c>
      <c r="I35" s="9" t="s">
        <v>10</v>
      </c>
    </row>
    <row r="36" spans="1:9" x14ac:dyDescent="0.55000000000000004">
      <c r="A36" s="6" t="s">
        <v>4</v>
      </c>
      <c r="B36" s="14">
        <v>75772</v>
      </c>
      <c r="E36">
        <v>281</v>
      </c>
      <c r="F36" s="8">
        <f>E36*B36</f>
        <v>21291932</v>
      </c>
      <c r="G36">
        <v>190817</v>
      </c>
      <c r="H36" s="19">
        <f t="shared" si="2"/>
        <v>7.7518727961130338E-2</v>
      </c>
      <c r="I36" s="9" t="s">
        <v>10</v>
      </c>
    </row>
    <row r="37" spans="1:9" x14ac:dyDescent="0.55000000000000004">
      <c r="A37" s="6" t="s">
        <v>5</v>
      </c>
      <c r="B37" s="7">
        <v>291720</v>
      </c>
      <c r="E37">
        <v>15</v>
      </c>
      <c r="F37" s="8">
        <f>E37*B37</f>
        <v>4375800</v>
      </c>
      <c r="G37">
        <v>23826</v>
      </c>
      <c r="H37" s="19">
        <f t="shared" si="2"/>
        <v>0.181324200913242</v>
      </c>
      <c r="I37" s="9" t="s">
        <v>10</v>
      </c>
    </row>
    <row r="38" spans="1:9" x14ac:dyDescent="0.55000000000000004">
      <c r="A38" s="6" t="s">
        <v>31</v>
      </c>
      <c r="B38" s="7">
        <v>154460</v>
      </c>
      <c r="C38">
        <v>170</v>
      </c>
      <c r="E38">
        <v>5</v>
      </c>
      <c r="F38" s="8">
        <f>E38*B38+G38*C38</f>
        <v>1473550</v>
      </c>
      <c r="G38">
        <v>4125</v>
      </c>
      <c r="H38" s="19">
        <f>G38/(E38*8760)</f>
        <v>9.4178082191780824E-2</v>
      </c>
      <c r="I38" s="9" t="s">
        <v>9</v>
      </c>
    </row>
    <row r="39" spans="1:9" ht="14.7" thickBot="1" x14ac:dyDescent="0.6">
      <c r="A39" s="6"/>
      <c r="B39" s="7"/>
      <c r="I39" s="9"/>
    </row>
    <row r="40" spans="1:9" x14ac:dyDescent="0.55000000000000004">
      <c r="A40" s="10" t="s">
        <v>6</v>
      </c>
      <c r="B40" t="s">
        <v>54</v>
      </c>
      <c r="C40" t="s">
        <v>11</v>
      </c>
      <c r="E40" t="s">
        <v>1</v>
      </c>
      <c r="G40" t="s">
        <v>22</v>
      </c>
      <c r="I40" s="5" t="s">
        <v>2</v>
      </c>
    </row>
    <row r="41" spans="1:9" x14ac:dyDescent="0.55000000000000004">
      <c r="A41" s="6" t="s">
        <v>7</v>
      </c>
      <c r="B41" s="1">
        <v>15700</v>
      </c>
      <c r="C41">
        <v>11</v>
      </c>
      <c r="E41">
        <v>420</v>
      </c>
      <c r="F41" s="8">
        <f>E41*B41</f>
        <v>6594000</v>
      </c>
      <c r="G41" s="24">
        <f>E41/70</f>
        <v>6</v>
      </c>
      <c r="I41" s="9" t="s">
        <v>9</v>
      </c>
    </row>
    <row r="42" spans="1:9" x14ac:dyDescent="0.55000000000000004">
      <c r="A42" s="6" t="s">
        <v>8</v>
      </c>
      <c r="B42" s="1">
        <v>4290</v>
      </c>
      <c r="C42">
        <v>351</v>
      </c>
      <c r="E42">
        <v>1680</v>
      </c>
      <c r="F42" s="8">
        <f>E42*B42</f>
        <v>7207200</v>
      </c>
      <c r="G42" s="24">
        <f>E42/70</f>
        <v>24</v>
      </c>
      <c r="I42" s="9" t="s">
        <v>9</v>
      </c>
    </row>
    <row r="43" spans="1:9" ht="14.7" thickBot="1" x14ac:dyDescent="0.6">
      <c r="A43" s="11"/>
      <c r="B43" s="12"/>
      <c r="C43" s="12"/>
      <c r="D43" s="12"/>
      <c r="E43" s="15" t="s">
        <v>19</v>
      </c>
      <c r="F43" s="16">
        <f>SUM(F41:F42,F35:F38)</f>
        <v>48151594</v>
      </c>
      <c r="G43" s="15"/>
      <c r="H43" s="15" t="s">
        <v>20</v>
      </c>
      <c r="I43" s="17">
        <f>F43/$L$1</f>
        <v>110.16476419675382</v>
      </c>
    </row>
    <row r="44" spans="1:9" x14ac:dyDescent="0.55000000000000004">
      <c r="G44" s="23">
        <f>1-G38/$L$1</f>
        <v>0.99056252110134491</v>
      </c>
      <c r="H44" t="s">
        <v>47</v>
      </c>
      <c r="I44" s="21">
        <f>(E36*'Available Land_Plant Land Use'!$D$13+E37*'Available Land_Plant Land Use'!$D$14)/1000000</f>
        <v>5.1706730219999999</v>
      </c>
    </row>
    <row r="45" spans="1:9" x14ac:dyDescent="0.55000000000000004">
      <c r="G45" t="s">
        <v>66</v>
      </c>
    </row>
    <row r="47" spans="1:9" ht="14.7" thickBot="1" x14ac:dyDescent="0.6"/>
    <row r="48" spans="1:9" ht="14.7" thickBot="1" x14ac:dyDescent="0.6">
      <c r="A48" s="3" t="s">
        <v>35</v>
      </c>
      <c r="B48" s="39" t="s">
        <v>16</v>
      </c>
      <c r="C48" s="39"/>
      <c r="E48" s="40" t="s">
        <v>17</v>
      </c>
      <c r="F48" s="40"/>
      <c r="G48" s="40"/>
      <c r="H48" s="40"/>
      <c r="I48" s="40"/>
    </row>
    <row r="49" spans="1:25" x14ac:dyDescent="0.55000000000000004">
      <c r="A49" s="18" t="s">
        <v>23</v>
      </c>
      <c r="B49" s="4" t="s">
        <v>27</v>
      </c>
      <c r="C49" s="4" t="s">
        <v>28</v>
      </c>
      <c r="D49" s="4"/>
      <c r="E49" s="4" t="s">
        <v>1</v>
      </c>
      <c r="F49" s="4" t="s">
        <v>18</v>
      </c>
      <c r="G49" s="4" t="s">
        <v>32</v>
      </c>
      <c r="H49" s="4" t="s">
        <v>36</v>
      </c>
      <c r="I49" s="5" t="s">
        <v>2</v>
      </c>
    </row>
    <row r="50" spans="1:25" x14ac:dyDescent="0.55000000000000004">
      <c r="A50" s="6" t="s">
        <v>3</v>
      </c>
      <c r="B50" s="14">
        <v>116276</v>
      </c>
      <c r="E50">
        <v>69</v>
      </c>
      <c r="F50" s="8">
        <f>E50*B50</f>
        <v>8023044</v>
      </c>
      <c r="G50">
        <v>248211</v>
      </c>
      <c r="H50" s="19">
        <f t="shared" ref="H50:H52" si="3">G50/(E50*8760)</f>
        <v>0.41064621798689699</v>
      </c>
      <c r="I50" s="9" t="s">
        <v>10</v>
      </c>
    </row>
    <row r="51" spans="1:25" x14ac:dyDescent="0.55000000000000004">
      <c r="A51" s="6" t="s">
        <v>4</v>
      </c>
      <c r="B51" s="14">
        <v>75772</v>
      </c>
      <c r="E51">
        <v>306</v>
      </c>
      <c r="F51" s="8">
        <f>E51*B51</f>
        <v>23186232</v>
      </c>
      <c r="G51">
        <v>165430</v>
      </c>
      <c r="H51" s="19">
        <f t="shared" si="3"/>
        <v>6.1714716327931476E-2</v>
      </c>
      <c r="I51" s="9" t="s">
        <v>10</v>
      </c>
    </row>
    <row r="52" spans="1:25" x14ac:dyDescent="0.55000000000000004">
      <c r="A52" s="6" t="s">
        <v>5</v>
      </c>
      <c r="B52" s="7">
        <v>291720</v>
      </c>
      <c r="E52">
        <v>18</v>
      </c>
      <c r="F52" s="8">
        <f>E52*B52</f>
        <v>5250960</v>
      </c>
      <c r="G52">
        <v>28770</v>
      </c>
      <c r="H52" s="19">
        <f t="shared" si="3"/>
        <v>0.18245814307458144</v>
      </c>
      <c r="I52" s="9" t="s">
        <v>10</v>
      </c>
    </row>
    <row r="53" spans="1:25" x14ac:dyDescent="0.55000000000000004">
      <c r="A53" s="6" t="s">
        <v>31</v>
      </c>
      <c r="B53" s="7">
        <v>154460</v>
      </c>
      <c r="C53">
        <v>170</v>
      </c>
      <c r="E53">
        <v>3</v>
      </c>
      <c r="F53" s="8">
        <f>E53*B53+G53*C53</f>
        <v>765300</v>
      </c>
      <c r="G53">
        <v>1776</v>
      </c>
      <c r="H53" s="19">
        <f>G53/(E53*8760)</f>
        <v>6.7579908675799091E-2</v>
      </c>
      <c r="I53" s="9" t="s">
        <v>9</v>
      </c>
    </row>
    <row r="54" spans="1:25" ht="14.7" thickBot="1" x14ac:dyDescent="0.6">
      <c r="A54" s="6"/>
      <c r="B54" s="7"/>
      <c r="I54" s="9"/>
    </row>
    <row r="55" spans="1:25" x14ac:dyDescent="0.55000000000000004">
      <c r="A55" s="10" t="s">
        <v>6</v>
      </c>
      <c r="B55" t="s">
        <v>53</v>
      </c>
      <c r="C55" t="s">
        <v>11</v>
      </c>
      <c r="E55" t="s">
        <v>1</v>
      </c>
      <c r="G55" t="s">
        <v>22</v>
      </c>
      <c r="I55" s="5" t="s">
        <v>2</v>
      </c>
    </row>
    <row r="56" spans="1:25" x14ac:dyDescent="0.55000000000000004">
      <c r="A56" s="6" t="s">
        <v>7</v>
      </c>
      <c r="B56" s="1">
        <v>15700</v>
      </c>
      <c r="C56">
        <v>0</v>
      </c>
      <c r="E56">
        <v>420</v>
      </c>
      <c r="F56" s="8">
        <f>E56*B56</f>
        <v>6594000</v>
      </c>
      <c r="G56">
        <f>E56/70</f>
        <v>6</v>
      </c>
      <c r="I56" s="9" t="s">
        <v>9</v>
      </c>
    </row>
    <row r="57" spans="1:25" x14ac:dyDescent="0.55000000000000004">
      <c r="A57" s="6" t="s">
        <v>8</v>
      </c>
      <c r="B57" s="1">
        <v>4290</v>
      </c>
      <c r="C57">
        <v>1</v>
      </c>
      <c r="E57">
        <v>1680</v>
      </c>
      <c r="F57" s="8">
        <f>E57*B57</f>
        <v>7207200</v>
      </c>
      <c r="G57">
        <f>E57/70</f>
        <v>24</v>
      </c>
      <c r="I57" s="9" t="s">
        <v>9</v>
      </c>
    </row>
    <row r="58" spans="1:25" ht="14.7" thickBot="1" x14ac:dyDescent="0.6">
      <c r="A58" s="11"/>
      <c r="B58" s="12"/>
      <c r="C58" s="12"/>
      <c r="D58" s="12"/>
      <c r="E58" s="15" t="s">
        <v>19</v>
      </c>
      <c r="F58" s="16">
        <f>SUM(F56:F57,F50:F53)</f>
        <v>51026736</v>
      </c>
      <c r="G58" s="15"/>
      <c r="H58" s="15" t="s">
        <v>20</v>
      </c>
      <c r="I58" s="17">
        <f>F58/$L$1</f>
        <v>116.74272588296888</v>
      </c>
    </row>
    <row r="59" spans="1:25" x14ac:dyDescent="0.55000000000000004">
      <c r="G59" s="19">
        <f>1-G53/$L$1</f>
        <v>0.99593673635781543</v>
      </c>
      <c r="H59" t="s">
        <v>47</v>
      </c>
      <c r="I59" s="21">
        <f>(E51*'Available Land_Plant Land Use'!$D$13+E52*'Available Land_Plant Land Use'!$D$14)/1000000</f>
        <v>5.6745070919999998</v>
      </c>
    </row>
    <row r="60" spans="1:25" x14ac:dyDescent="0.55000000000000004">
      <c r="G60" t="s">
        <v>66</v>
      </c>
    </row>
    <row r="62" spans="1:25" ht="14.7" thickBot="1" x14ac:dyDescent="0.6"/>
    <row r="63" spans="1:25" ht="14.7" thickBot="1" x14ac:dyDescent="0.6">
      <c r="A63" s="3" t="s">
        <v>105</v>
      </c>
      <c r="B63" s="39" t="s">
        <v>16</v>
      </c>
      <c r="C63" s="39"/>
      <c r="E63" s="40" t="s">
        <v>17</v>
      </c>
      <c r="F63" s="40"/>
      <c r="G63" s="40"/>
      <c r="H63" s="40"/>
      <c r="I63" s="40"/>
    </row>
    <row r="64" spans="1:25" x14ac:dyDescent="0.55000000000000004">
      <c r="A64" s="18" t="s">
        <v>23</v>
      </c>
      <c r="B64" s="4" t="s">
        <v>27</v>
      </c>
      <c r="C64" s="4" t="s">
        <v>28</v>
      </c>
      <c r="D64" s="4"/>
      <c r="E64" s="4" t="s">
        <v>1</v>
      </c>
      <c r="F64" s="4" t="s">
        <v>18</v>
      </c>
      <c r="G64" s="4" t="s">
        <v>32</v>
      </c>
      <c r="H64" s="4" t="s">
        <v>36</v>
      </c>
      <c r="I64" s="5" t="s">
        <v>2</v>
      </c>
      <c r="U64" s="42" t="s">
        <v>109</v>
      </c>
      <c r="V64" s="43"/>
      <c r="W64" s="43"/>
      <c r="X64" s="44"/>
      <c r="Y64" s="34"/>
    </row>
    <row r="65" spans="1:25" x14ac:dyDescent="0.55000000000000004">
      <c r="A65" s="6" t="s">
        <v>3</v>
      </c>
      <c r="B65" s="14">
        <v>116276</v>
      </c>
      <c r="E65">
        <v>36</v>
      </c>
      <c r="F65" s="8">
        <f>E65*B65</f>
        <v>4185936</v>
      </c>
      <c r="G65">
        <v>248211</v>
      </c>
      <c r="H65" s="19">
        <f t="shared" ref="H65:H67" si="4">G65/(E65*8760)</f>
        <v>0.78707191780821917</v>
      </c>
      <c r="I65" s="9" t="s">
        <v>10</v>
      </c>
      <c r="U65" s="27" t="s">
        <v>70</v>
      </c>
      <c r="V65" s="27" t="s">
        <v>34</v>
      </c>
      <c r="W65" s="27" t="s">
        <v>110</v>
      </c>
      <c r="X65" s="27" t="s">
        <v>111</v>
      </c>
      <c r="Y65" s="27"/>
    </row>
    <row r="66" spans="1:25" x14ac:dyDescent="0.55000000000000004">
      <c r="A66" s="6" t="s">
        <v>4</v>
      </c>
      <c r="B66" s="14">
        <v>75772</v>
      </c>
      <c r="E66">
        <v>274</v>
      </c>
      <c r="F66" s="8">
        <f>E66*B66</f>
        <v>20761528</v>
      </c>
      <c r="G66">
        <v>165430</v>
      </c>
      <c r="H66" s="19">
        <f t="shared" si="4"/>
        <v>6.8922274439222747E-2</v>
      </c>
      <c r="I66" s="9" t="s">
        <v>10</v>
      </c>
      <c r="U66" s="28" t="s">
        <v>74</v>
      </c>
      <c r="V66" s="35">
        <f>I78</f>
        <v>122.01947314524777</v>
      </c>
      <c r="W66" s="35">
        <f>I93</f>
        <v>123.6149447294335</v>
      </c>
      <c r="X66" s="35">
        <f>I107</f>
        <v>146.81636773194879</v>
      </c>
      <c r="Y66" s="29"/>
    </row>
    <row r="67" spans="1:25" x14ac:dyDescent="0.55000000000000004">
      <c r="A67" s="6" t="s">
        <v>5</v>
      </c>
      <c r="B67" s="7">
        <v>291720</v>
      </c>
      <c r="E67">
        <v>3.5</v>
      </c>
      <c r="F67" s="8">
        <f>E67*B67</f>
        <v>1021020</v>
      </c>
      <c r="G67">
        <v>28770</v>
      </c>
      <c r="H67" s="19">
        <f t="shared" si="4"/>
        <v>0.93835616438356162</v>
      </c>
      <c r="I67" s="9" t="s">
        <v>10</v>
      </c>
      <c r="U67" s="28" t="s">
        <v>75</v>
      </c>
      <c r="V67" s="36">
        <f>I79</f>
        <v>4.7491925530000012</v>
      </c>
      <c r="W67" s="36">
        <f>I94</f>
        <v>5.0013119310000009</v>
      </c>
      <c r="X67" s="37">
        <f>I108</f>
        <v>6.4417917480000009</v>
      </c>
      <c r="Y67" s="31"/>
    </row>
    <row r="68" spans="1:25" x14ac:dyDescent="0.55000000000000004">
      <c r="A68" s="6" t="s">
        <v>31</v>
      </c>
      <c r="B68" s="7">
        <v>154460</v>
      </c>
      <c r="C68">
        <v>170</v>
      </c>
      <c r="E68">
        <v>7</v>
      </c>
      <c r="F68" s="8">
        <f>E68*B68+G68*C68</f>
        <v>11505620</v>
      </c>
      <c r="G68">
        <v>61320</v>
      </c>
      <c r="H68" s="19">
        <f>G68/(E68*8760)</f>
        <v>1</v>
      </c>
      <c r="I68" s="9" t="s">
        <v>9</v>
      </c>
      <c r="U68" s="28" t="s">
        <v>76</v>
      </c>
      <c r="V68" s="33">
        <f>E66</f>
        <v>274</v>
      </c>
      <c r="W68" s="33">
        <f>E86</f>
        <v>278</v>
      </c>
      <c r="X68" s="33">
        <f>E102</f>
        <v>379</v>
      </c>
      <c r="Y68" s="32"/>
    </row>
    <row r="69" spans="1:25" ht="14.7" thickBot="1" x14ac:dyDescent="0.6">
      <c r="A69" s="6"/>
      <c r="B69" s="7"/>
      <c r="I69" s="9"/>
      <c r="U69" s="28" t="s">
        <v>77</v>
      </c>
      <c r="V69" s="33">
        <f>E65</f>
        <v>36</v>
      </c>
      <c r="W69" s="33">
        <f>E85</f>
        <v>43</v>
      </c>
      <c r="X69" s="33">
        <f>E101</f>
        <v>28</v>
      </c>
      <c r="Y69" s="32"/>
    </row>
    <row r="70" spans="1:25" x14ac:dyDescent="0.55000000000000004">
      <c r="A70" s="10" t="s">
        <v>6</v>
      </c>
      <c r="B70" t="s">
        <v>53</v>
      </c>
      <c r="C70" t="s">
        <v>11</v>
      </c>
      <c r="E70" t="s">
        <v>1</v>
      </c>
      <c r="G70" t="s">
        <v>22</v>
      </c>
      <c r="I70" s="5" t="s">
        <v>2</v>
      </c>
      <c r="U70" s="28" t="s">
        <v>80</v>
      </c>
      <c r="V70" s="33">
        <f>E67</f>
        <v>3.5</v>
      </c>
      <c r="W70" s="33">
        <f>E87</f>
        <v>10.5</v>
      </c>
      <c r="X70" s="33" t="s">
        <v>102</v>
      </c>
      <c r="Y70" s="32"/>
    </row>
    <row r="71" spans="1:25" x14ac:dyDescent="0.55000000000000004">
      <c r="A71" s="6" t="s">
        <v>7</v>
      </c>
      <c r="B71" s="1">
        <v>15700</v>
      </c>
      <c r="C71">
        <v>61</v>
      </c>
      <c r="E71">
        <v>473</v>
      </c>
      <c r="F71" s="8">
        <f>E71*B71</f>
        <v>7426100</v>
      </c>
      <c r="G71" s="25">
        <f>E71/70</f>
        <v>6.7571428571428571</v>
      </c>
      <c r="I71" s="9" t="s">
        <v>9</v>
      </c>
      <c r="U71" s="28" t="s">
        <v>81</v>
      </c>
      <c r="V71" s="33" t="s">
        <v>112</v>
      </c>
      <c r="W71" s="33" t="s">
        <v>115</v>
      </c>
      <c r="X71" s="33" t="s">
        <v>117</v>
      </c>
      <c r="Y71" s="33"/>
    </row>
    <row r="72" spans="1:25" x14ac:dyDescent="0.55000000000000004">
      <c r="A72" s="6" t="s">
        <v>8</v>
      </c>
      <c r="B72" s="1">
        <v>4290</v>
      </c>
      <c r="C72">
        <v>0</v>
      </c>
      <c r="E72">
        <v>463</v>
      </c>
      <c r="F72" s="8">
        <f>E72*B72</f>
        <v>1986270</v>
      </c>
      <c r="G72" s="25">
        <f>E72/70</f>
        <v>6.6142857142857139</v>
      </c>
      <c r="I72" s="9" t="s">
        <v>9</v>
      </c>
      <c r="U72" s="28" t="s">
        <v>82</v>
      </c>
      <c r="V72" s="33" t="s">
        <v>113</v>
      </c>
      <c r="W72" s="33" t="s">
        <v>116</v>
      </c>
      <c r="X72" s="33" t="s">
        <v>102</v>
      </c>
      <c r="Y72" s="33"/>
    </row>
    <row r="73" spans="1:25" x14ac:dyDescent="0.55000000000000004">
      <c r="A73" s="6" t="s">
        <v>49</v>
      </c>
      <c r="B73" s="1">
        <v>2860</v>
      </c>
      <c r="C73">
        <v>39</v>
      </c>
      <c r="E73">
        <v>1804</v>
      </c>
      <c r="F73" s="8">
        <f t="shared" ref="F73" si="5">E73*B73</f>
        <v>5159440</v>
      </c>
      <c r="G73" s="25">
        <f>IF(E77&gt;0,E73/E77,0)</f>
        <v>128.85714285714286</v>
      </c>
      <c r="I73" s="9" t="s">
        <v>9</v>
      </c>
      <c r="U73" s="28" t="s">
        <v>97</v>
      </c>
      <c r="V73" s="33" t="s">
        <v>114</v>
      </c>
      <c r="W73" s="33" t="s">
        <v>102</v>
      </c>
      <c r="X73" s="33" t="s">
        <v>102</v>
      </c>
      <c r="Y73" s="32"/>
    </row>
    <row r="74" spans="1:25" ht="14.7" thickBot="1" x14ac:dyDescent="0.6">
      <c r="A74" s="6"/>
      <c r="B74" s="1"/>
      <c r="F74" s="8"/>
      <c r="I74" s="9"/>
      <c r="U74" s="28" t="s">
        <v>98</v>
      </c>
      <c r="V74" s="33">
        <v>8</v>
      </c>
      <c r="W74" s="33" t="s">
        <v>102</v>
      </c>
      <c r="X74" s="33" t="s">
        <v>102</v>
      </c>
      <c r="Y74" s="33"/>
    </row>
    <row r="75" spans="1:25" x14ac:dyDescent="0.55000000000000004">
      <c r="A75" s="10" t="s">
        <v>51</v>
      </c>
      <c r="B75" s="4" t="s">
        <v>27</v>
      </c>
      <c r="E75" t="s">
        <v>37</v>
      </c>
      <c r="F75" s="8"/>
      <c r="I75" s="5" t="s">
        <v>2</v>
      </c>
      <c r="U75" s="28" t="s">
        <v>99</v>
      </c>
      <c r="V75" s="33">
        <v>14</v>
      </c>
      <c r="W75" s="33" t="s">
        <v>102</v>
      </c>
      <c r="X75" s="33" t="s">
        <v>102</v>
      </c>
      <c r="Y75" s="32"/>
    </row>
    <row r="76" spans="1:25" x14ac:dyDescent="0.55000000000000004">
      <c r="A76" s="6" t="s">
        <v>52</v>
      </c>
      <c r="B76" s="1">
        <v>85810</v>
      </c>
      <c r="E76">
        <v>8</v>
      </c>
      <c r="F76" s="8">
        <f t="shared" ref="F76:F77" si="6">E76*B76</f>
        <v>686480</v>
      </c>
      <c r="I76" s="9" t="s">
        <v>10</v>
      </c>
    </row>
    <row r="77" spans="1:25" x14ac:dyDescent="0.55000000000000004">
      <c r="A77" s="6" t="s">
        <v>50</v>
      </c>
      <c r="B77" s="1">
        <v>42910</v>
      </c>
      <c r="E77">
        <v>14</v>
      </c>
      <c r="F77" s="8">
        <f t="shared" si="6"/>
        <v>600740</v>
      </c>
      <c r="I77" s="9" t="s">
        <v>10</v>
      </c>
    </row>
    <row r="78" spans="1:25" ht="14.7" thickBot="1" x14ac:dyDescent="0.6">
      <c r="A78" s="11"/>
      <c r="B78" s="12"/>
      <c r="C78" s="12"/>
      <c r="D78" s="12"/>
      <c r="E78" s="15" t="s">
        <v>19</v>
      </c>
      <c r="F78" s="16">
        <f>SUM(F65:F77)</f>
        <v>53333134</v>
      </c>
      <c r="G78" s="15"/>
      <c r="H78" s="15" t="s">
        <v>20</v>
      </c>
      <c r="I78" s="17">
        <f>F78/$L$1</f>
        <v>122.01947314524777</v>
      </c>
    </row>
    <row r="79" spans="1:25" x14ac:dyDescent="0.55000000000000004">
      <c r="G79" s="19">
        <f>1-G68/$L$1</f>
        <v>0.85970758640835554</v>
      </c>
      <c r="H79" t="s">
        <v>47</v>
      </c>
      <c r="I79" s="21">
        <f>(E66*'Available Land_Plant Land Use'!$D$13+E67*'Available Land_Plant Land Use'!$D$14)/1000000</f>
        <v>4.7491925530000012</v>
      </c>
    </row>
    <row r="80" spans="1:25" x14ac:dyDescent="0.55000000000000004">
      <c r="G80" t="s">
        <v>66</v>
      </c>
    </row>
    <row r="82" spans="1:9" ht="14.7" thickBot="1" x14ac:dyDescent="0.6"/>
    <row r="83" spans="1:9" ht="14.7" thickBot="1" x14ac:dyDescent="0.6">
      <c r="A83" s="3" t="s">
        <v>106</v>
      </c>
      <c r="B83" s="39" t="s">
        <v>16</v>
      </c>
      <c r="C83" s="39"/>
      <c r="E83" s="40" t="s">
        <v>17</v>
      </c>
      <c r="F83" s="40"/>
      <c r="G83" s="40"/>
      <c r="H83" s="40"/>
      <c r="I83" s="40"/>
    </row>
    <row r="84" spans="1:9" x14ac:dyDescent="0.55000000000000004">
      <c r="A84" s="18" t="s">
        <v>23</v>
      </c>
      <c r="B84" s="4" t="s">
        <v>27</v>
      </c>
      <c r="C84" s="4" t="s">
        <v>28</v>
      </c>
      <c r="D84" s="4"/>
      <c r="E84" s="4" t="s">
        <v>1</v>
      </c>
      <c r="F84" s="4" t="s">
        <v>18</v>
      </c>
      <c r="G84" s="4" t="s">
        <v>32</v>
      </c>
      <c r="H84" s="4" t="s">
        <v>36</v>
      </c>
      <c r="I84" s="5" t="s">
        <v>2</v>
      </c>
    </row>
    <row r="85" spans="1:9" x14ac:dyDescent="0.55000000000000004">
      <c r="A85" s="6" t="s">
        <v>3</v>
      </c>
      <c r="B85" s="14">
        <v>116276</v>
      </c>
      <c r="E85">
        <v>43</v>
      </c>
      <c r="F85" s="8">
        <f>E85*B85</f>
        <v>4999868</v>
      </c>
      <c r="G85">
        <v>248211</v>
      </c>
      <c r="H85" s="19">
        <f t="shared" ref="H85:H87" si="7">G85/(E85*8760)</f>
        <v>0.65894393118827654</v>
      </c>
      <c r="I85" s="9" t="s">
        <v>10</v>
      </c>
    </row>
    <row r="86" spans="1:9" x14ac:dyDescent="0.55000000000000004">
      <c r="A86" s="6" t="s">
        <v>4</v>
      </c>
      <c r="B86" s="14">
        <v>75772</v>
      </c>
      <c r="E86">
        <v>278</v>
      </c>
      <c r="F86" s="8">
        <f>E86*B86</f>
        <v>21064616</v>
      </c>
      <c r="G86">
        <v>165430</v>
      </c>
      <c r="H86" s="19">
        <f t="shared" si="7"/>
        <v>6.7930587037219534E-2</v>
      </c>
      <c r="I86" s="9" t="s">
        <v>10</v>
      </c>
    </row>
    <row r="87" spans="1:9" x14ac:dyDescent="0.55000000000000004">
      <c r="A87" s="6" t="s">
        <v>5</v>
      </c>
      <c r="B87" s="7">
        <v>291720</v>
      </c>
      <c r="E87">
        <v>10.5</v>
      </c>
      <c r="F87" s="8">
        <f>E87*B87</f>
        <v>3063060</v>
      </c>
      <c r="G87">
        <v>28770</v>
      </c>
      <c r="H87" s="19">
        <f t="shared" si="7"/>
        <v>0.31278538812785389</v>
      </c>
      <c r="I87" s="9" t="s">
        <v>10</v>
      </c>
    </row>
    <row r="88" spans="1:9" x14ac:dyDescent="0.55000000000000004">
      <c r="A88" s="6" t="s">
        <v>31</v>
      </c>
      <c r="B88" s="7">
        <v>154460</v>
      </c>
      <c r="C88">
        <v>170</v>
      </c>
      <c r="E88">
        <v>7</v>
      </c>
      <c r="F88" s="8">
        <f>E88*B88+G88*C88</f>
        <v>11505620</v>
      </c>
      <c r="G88">
        <v>61320</v>
      </c>
      <c r="H88" s="19">
        <f>G88/(E88*8760)</f>
        <v>1</v>
      </c>
      <c r="I88" s="9" t="s">
        <v>9</v>
      </c>
    </row>
    <row r="89" spans="1:9" ht="14.7" thickBot="1" x14ac:dyDescent="0.6">
      <c r="A89" s="6"/>
      <c r="B89" s="7"/>
      <c r="I89" s="9"/>
    </row>
    <row r="90" spans="1:9" x14ac:dyDescent="0.55000000000000004">
      <c r="A90" s="10" t="s">
        <v>6</v>
      </c>
      <c r="B90" t="s">
        <v>53</v>
      </c>
      <c r="C90" t="s">
        <v>11</v>
      </c>
      <c r="E90" t="s">
        <v>1</v>
      </c>
      <c r="G90" t="s">
        <v>22</v>
      </c>
      <c r="I90" s="5" t="s">
        <v>2</v>
      </c>
    </row>
    <row r="91" spans="1:9" x14ac:dyDescent="0.55000000000000004">
      <c r="A91" s="6" t="s">
        <v>7</v>
      </c>
      <c r="B91" s="1">
        <v>15700</v>
      </c>
      <c r="C91">
        <v>61</v>
      </c>
      <c r="E91">
        <v>488</v>
      </c>
      <c r="F91" s="8">
        <f>E91*B91</f>
        <v>7661600</v>
      </c>
      <c r="G91" s="25">
        <f>E91/70</f>
        <v>6.9714285714285715</v>
      </c>
      <c r="I91" s="9" t="s">
        <v>9</v>
      </c>
    </row>
    <row r="92" spans="1:9" x14ac:dyDescent="0.55000000000000004">
      <c r="A92" s="6" t="s">
        <v>8</v>
      </c>
      <c r="B92" s="1">
        <v>4290</v>
      </c>
      <c r="C92">
        <v>0</v>
      </c>
      <c r="E92">
        <v>1337</v>
      </c>
      <c r="F92" s="8">
        <f>E92*B92</f>
        <v>5735730</v>
      </c>
      <c r="G92">
        <f>E92/70</f>
        <v>19.100000000000001</v>
      </c>
      <c r="I92" s="9" t="s">
        <v>9</v>
      </c>
    </row>
    <row r="93" spans="1:9" ht="14.7" thickBot="1" x14ac:dyDescent="0.6">
      <c r="A93" s="11"/>
      <c r="B93" s="12"/>
      <c r="C93" s="12"/>
      <c r="D93" s="12"/>
      <c r="E93" s="15" t="s">
        <v>19</v>
      </c>
      <c r="F93" s="16">
        <f>SUM(F85:F92)</f>
        <v>54030494</v>
      </c>
      <c r="G93" s="15"/>
      <c r="H93" s="15" t="s">
        <v>20</v>
      </c>
      <c r="I93" s="17">
        <f>F93/$L$1</f>
        <v>123.6149447294335</v>
      </c>
    </row>
    <row r="94" spans="1:9" x14ac:dyDescent="0.55000000000000004">
      <c r="G94" s="19">
        <f>1-G88/$L$1</f>
        <v>0.85970758640835554</v>
      </c>
      <c r="H94" t="s">
        <v>47</v>
      </c>
      <c r="I94" s="21">
        <f>(E86*'Available Land_Plant Land Use'!$D$13+E87*'Available Land_Plant Land Use'!$D$14)/1000000</f>
        <v>5.0013119310000009</v>
      </c>
    </row>
    <row r="95" spans="1:9" x14ac:dyDescent="0.55000000000000004">
      <c r="G95" t="s">
        <v>66</v>
      </c>
    </row>
    <row r="98" spans="1:15" ht="14.7" thickBot="1" x14ac:dyDescent="0.6"/>
    <row r="99" spans="1:15" ht="14.7" thickBot="1" x14ac:dyDescent="0.6">
      <c r="A99" s="3" t="s">
        <v>107</v>
      </c>
      <c r="B99" s="39" t="s">
        <v>16</v>
      </c>
      <c r="C99" s="39"/>
      <c r="E99" s="40" t="s">
        <v>17</v>
      </c>
      <c r="F99" s="40"/>
      <c r="G99" s="40"/>
      <c r="H99" s="40"/>
      <c r="I99" s="40"/>
    </row>
    <row r="100" spans="1:15" x14ac:dyDescent="0.55000000000000004">
      <c r="A100" s="18" t="s">
        <v>23</v>
      </c>
      <c r="B100" s="4" t="s">
        <v>27</v>
      </c>
      <c r="C100" s="4" t="s">
        <v>28</v>
      </c>
      <c r="D100" s="4"/>
      <c r="E100" s="4" t="s">
        <v>1</v>
      </c>
      <c r="F100" s="4" t="s">
        <v>18</v>
      </c>
      <c r="G100" s="4" t="s">
        <v>32</v>
      </c>
      <c r="H100" s="4" t="s">
        <v>36</v>
      </c>
      <c r="I100" s="5" t="s">
        <v>2</v>
      </c>
    </row>
    <row r="101" spans="1:15" x14ac:dyDescent="0.55000000000000004">
      <c r="A101" s="6" t="s">
        <v>3</v>
      </c>
      <c r="B101" s="14">
        <v>116276</v>
      </c>
      <c r="E101">
        <v>28</v>
      </c>
      <c r="F101" s="8">
        <f>E101*B101</f>
        <v>3255728</v>
      </c>
      <c r="G101">
        <v>105062</v>
      </c>
      <c r="H101" s="19">
        <f t="shared" ref="H101:H102" si="8">G101/(E101*8760)</f>
        <v>0.42833496412263533</v>
      </c>
      <c r="I101" s="9" t="s">
        <v>10</v>
      </c>
    </row>
    <row r="102" spans="1:15" x14ac:dyDescent="0.55000000000000004">
      <c r="A102" s="6" t="s">
        <v>4</v>
      </c>
      <c r="B102" s="14">
        <v>75772</v>
      </c>
      <c r="E102">
        <v>379</v>
      </c>
      <c r="F102" s="8">
        <f>E102*B102</f>
        <v>28717588</v>
      </c>
      <c r="G102">
        <v>285542</v>
      </c>
      <c r="H102" s="19">
        <f t="shared" si="8"/>
        <v>8.600559029409284E-2</v>
      </c>
      <c r="I102" s="9" t="s">
        <v>10</v>
      </c>
    </row>
    <row r="103" spans="1:15" x14ac:dyDescent="0.55000000000000004">
      <c r="A103" s="6" t="s">
        <v>31</v>
      </c>
      <c r="B103" s="7">
        <v>154460</v>
      </c>
      <c r="C103">
        <v>170</v>
      </c>
      <c r="E103">
        <v>7</v>
      </c>
      <c r="F103" s="8">
        <f>E103*B103+G103*C103</f>
        <v>11505620</v>
      </c>
      <c r="G103">
        <v>61320</v>
      </c>
      <c r="H103" s="19">
        <f>G103/(E103*8760)</f>
        <v>1</v>
      </c>
      <c r="I103" s="9" t="s">
        <v>9</v>
      </c>
    </row>
    <row r="104" spans="1:15" ht="14.7" thickBot="1" x14ac:dyDescent="0.6">
      <c r="A104" s="6"/>
      <c r="B104" s="7"/>
      <c r="I104" s="9"/>
    </row>
    <row r="105" spans="1:15" x14ac:dyDescent="0.55000000000000004">
      <c r="A105" s="10" t="s">
        <v>6</v>
      </c>
      <c r="B105" t="s">
        <v>53</v>
      </c>
      <c r="C105" t="s">
        <v>11</v>
      </c>
      <c r="E105" t="s">
        <v>1</v>
      </c>
      <c r="G105" t="s">
        <v>22</v>
      </c>
      <c r="I105" s="5" t="s">
        <v>2</v>
      </c>
    </row>
    <row r="106" spans="1:15" x14ac:dyDescent="0.55000000000000004">
      <c r="A106" s="6" t="s">
        <v>7</v>
      </c>
      <c r="B106" s="1">
        <v>15700</v>
      </c>
      <c r="C106">
        <v>907</v>
      </c>
      <c r="E106">
        <v>1318</v>
      </c>
      <c r="F106" s="8">
        <f>E106*B106</f>
        <v>20692600</v>
      </c>
      <c r="G106" s="25">
        <f>E106/70</f>
        <v>18.828571428571429</v>
      </c>
      <c r="I106" s="9" t="s">
        <v>9</v>
      </c>
    </row>
    <row r="107" spans="1:15" ht="14.7" thickBot="1" x14ac:dyDescent="0.6">
      <c r="A107" s="11"/>
      <c r="B107" s="12"/>
      <c r="C107" s="12"/>
      <c r="D107" s="12"/>
      <c r="E107" s="15" t="s">
        <v>19</v>
      </c>
      <c r="F107" s="16">
        <f>SUM(F101:F106)</f>
        <v>64171536</v>
      </c>
      <c r="G107" s="15"/>
      <c r="H107" s="15" t="s">
        <v>20</v>
      </c>
      <c r="I107" s="17">
        <f>F107/$L$1</f>
        <v>146.81636773194879</v>
      </c>
    </row>
    <row r="108" spans="1:15" x14ac:dyDescent="0.55000000000000004">
      <c r="G108" s="19">
        <f>1-G103/$L$1</f>
        <v>0.85970758640835554</v>
      </c>
      <c r="H108" t="s">
        <v>47</v>
      </c>
      <c r="I108" s="21">
        <f>(E102*'Available Land_Plant Land Use'!$D$13)/1000000</f>
        <v>6.4417917480000009</v>
      </c>
    </row>
    <row r="109" spans="1:15" x14ac:dyDescent="0.55000000000000004">
      <c r="G109" t="s">
        <v>66</v>
      </c>
    </row>
    <row r="110" spans="1:15" x14ac:dyDescent="0.55000000000000004">
      <c r="A110" t="s">
        <v>119</v>
      </c>
    </row>
    <row r="111" spans="1:15" ht="14.7" thickBot="1" x14ac:dyDescent="0.6"/>
    <row r="112" spans="1:15" ht="14.7" thickBot="1" x14ac:dyDescent="0.6">
      <c r="A112" s="3" t="s">
        <v>118</v>
      </c>
      <c r="B112" s="39" t="s">
        <v>16</v>
      </c>
      <c r="C112" s="39"/>
      <c r="E112" s="40" t="s">
        <v>17</v>
      </c>
      <c r="F112" s="40"/>
      <c r="G112" s="40"/>
      <c r="H112" s="40"/>
      <c r="I112" s="40"/>
      <c r="L112" s="42" t="s">
        <v>122</v>
      </c>
      <c r="M112" s="43"/>
      <c r="N112" s="43"/>
      <c r="O112" s="44"/>
    </row>
    <row r="113" spans="1:15" x14ac:dyDescent="0.55000000000000004">
      <c r="A113" s="18" t="s">
        <v>23</v>
      </c>
      <c r="B113" s="4" t="s">
        <v>27</v>
      </c>
      <c r="C113" s="4" t="s">
        <v>28</v>
      </c>
      <c r="D113" s="4"/>
      <c r="E113" s="4" t="s">
        <v>37</v>
      </c>
      <c r="F113" s="4" t="s">
        <v>18</v>
      </c>
      <c r="G113" s="4" t="s">
        <v>32</v>
      </c>
      <c r="H113" s="4" t="s">
        <v>36</v>
      </c>
      <c r="I113" s="5" t="s">
        <v>2</v>
      </c>
      <c r="L113" s="27" t="s">
        <v>70</v>
      </c>
      <c r="M113" s="27" t="s">
        <v>34</v>
      </c>
      <c r="N113" s="27" t="s">
        <v>131</v>
      </c>
      <c r="O113" s="27" t="s">
        <v>132</v>
      </c>
    </row>
    <row r="114" spans="1:15" x14ac:dyDescent="0.55000000000000004">
      <c r="A114" s="6" t="s">
        <v>3</v>
      </c>
      <c r="B114" s="14">
        <v>116276</v>
      </c>
      <c r="E114">
        <v>118</v>
      </c>
      <c r="F114" s="8">
        <f>E114*B114</f>
        <v>13720568</v>
      </c>
      <c r="G114">
        <v>329819</v>
      </c>
      <c r="H114" s="19">
        <f t="shared" ref="H114:H116" si="9">G114/(E114*8760)</f>
        <v>0.31907263369708228</v>
      </c>
      <c r="I114" s="9" t="s">
        <v>10</v>
      </c>
      <c r="L114" s="28" t="s">
        <v>74</v>
      </c>
      <c r="M114" s="29">
        <f>I122</f>
        <v>128.42576194258055</v>
      </c>
      <c r="N114" s="29">
        <f>CSP!I44</f>
        <v>152.1285358544238</v>
      </c>
      <c r="O114" s="29">
        <f>CSP!I56</f>
        <v>101.25447545268275</v>
      </c>
    </row>
    <row r="115" spans="1:15" x14ac:dyDescent="0.55000000000000004">
      <c r="A115" s="6" t="s">
        <v>4</v>
      </c>
      <c r="B115" s="14">
        <v>75772</v>
      </c>
      <c r="E115">
        <v>316</v>
      </c>
      <c r="F115" s="8">
        <f>E115*B115</f>
        <v>23943952</v>
      </c>
      <c r="G115">
        <v>99095</v>
      </c>
      <c r="H115" s="19">
        <f t="shared" si="9"/>
        <v>3.5798147505924513E-2</v>
      </c>
      <c r="I115" s="9" t="s">
        <v>10</v>
      </c>
      <c r="L115" s="28" t="s">
        <v>75</v>
      </c>
      <c r="M115" s="30">
        <f>I123</f>
        <v>5.7918660320000006</v>
      </c>
      <c r="N115" s="25">
        <f>CSP!I45</f>
        <v>7.1908655340000003</v>
      </c>
      <c r="O115" s="30">
        <f>CSP!I57</f>
        <v>7.8161054040000009</v>
      </c>
    </row>
    <row r="116" spans="1:15" x14ac:dyDescent="0.55000000000000004">
      <c r="A116" s="6" t="s">
        <v>5</v>
      </c>
      <c r="B116" s="7">
        <v>291720</v>
      </c>
      <c r="E116">
        <v>16</v>
      </c>
      <c r="F116" s="8">
        <f>E116*B116</f>
        <v>4667520</v>
      </c>
      <c r="G116">
        <v>13911</v>
      </c>
      <c r="H116" s="19">
        <f t="shared" si="9"/>
        <v>9.9250856164383561E-2</v>
      </c>
      <c r="I116" s="9" t="s">
        <v>10</v>
      </c>
      <c r="L116" s="28" t="s">
        <v>76</v>
      </c>
      <c r="M116" s="32">
        <f>E115</f>
        <v>316</v>
      </c>
      <c r="N116" s="38">
        <f>CSP!E38</f>
        <v>372</v>
      </c>
      <c r="O116" s="32">
        <f>CSP!E50</f>
        <v>432</v>
      </c>
    </row>
    <row r="117" spans="1:15" x14ac:dyDescent="0.55000000000000004">
      <c r="A117" s="6" t="s">
        <v>31</v>
      </c>
      <c r="B117" s="7">
        <v>154460</v>
      </c>
      <c r="C117">
        <v>240</v>
      </c>
      <c r="E117">
        <v>0</v>
      </c>
      <c r="F117" s="8">
        <f>E117*B117+G117*C117</f>
        <v>0</v>
      </c>
      <c r="G117">
        <v>0</v>
      </c>
      <c r="H117" s="19" t="e">
        <f>G117/(E117*8760)</f>
        <v>#DIV/0!</v>
      </c>
      <c r="I117" s="9" t="s">
        <v>10</v>
      </c>
      <c r="L117" s="28" t="s">
        <v>77</v>
      </c>
      <c r="M117" s="32">
        <f>E114</f>
        <v>118</v>
      </c>
      <c r="N117" s="32">
        <f>CSP!E37</f>
        <v>25</v>
      </c>
      <c r="O117" s="32">
        <f>CSP!E49</f>
        <v>25</v>
      </c>
    </row>
    <row r="118" spans="1:15" ht="14.7" thickBot="1" x14ac:dyDescent="0.6">
      <c r="A118" s="6"/>
      <c r="B118" s="7"/>
      <c r="I118" s="9"/>
      <c r="L118" s="28" t="s">
        <v>80</v>
      </c>
      <c r="M118" s="32">
        <f>E116</f>
        <v>16</v>
      </c>
      <c r="N118" s="32">
        <f>CSP!E39</f>
        <v>33</v>
      </c>
      <c r="O118" s="32">
        <f>CSP!E51</f>
        <v>18</v>
      </c>
    </row>
    <row r="119" spans="1:15" x14ac:dyDescent="0.55000000000000004">
      <c r="A119" s="10" t="s">
        <v>6</v>
      </c>
      <c r="B119" t="s">
        <v>54</v>
      </c>
      <c r="C119" t="s">
        <v>11</v>
      </c>
      <c r="E119" t="s">
        <v>1</v>
      </c>
      <c r="G119" t="s">
        <v>22</v>
      </c>
      <c r="I119" s="5" t="s">
        <v>2</v>
      </c>
      <c r="L119" s="28" t="s">
        <v>91</v>
      </c>
      <c r="M119" s="32">
        <v>0</v>
      </c>
      <c r="N119" s="33" t="s">
        <v>102</v>
      </c>
      <c r="O119" s="33" t="s">
        <v>102</v>
      </c>
    </row>
    <row r="120" spans="1:15" x14ac:dyDescent="0.55000000000000004">
      <c r="A120" s="6" t="s">
        <v>7</v>
      </c>
      <c r="B120" s="1">
        <v>15700</v>
      </c>
      <c r="C120">
        <v>0</v>
      </c>
      <c r="E120">
        <v>420</v>
      </c>
      <c r="F120" s="8">
        <f>E120*B120</f>
        <v>6594000</v>
      </c>
      <c r="G120" s="24">
        <f>E120/70</f>
        <v>6</v>
      </c>
      <c r="I120" s="9" t="s">
        <v>10</v>
      </c>
      <c r="L120" s="28" t="s">
        <v>81</v>
      </c>
      <c r="M120" s="33" t="s">
        <v>89</v>
      </c>
      <c r="N120" s="33" t="s">
        <v>89</v>
      </c>
      <c r="O120" s="33" t="s">
        <v>133</v>
      </c>
    </row>
    <row r="121" spans="1:15" x14ac:dyDescent="0.55000000000000004">
      <c r="A121" s="6" t="s">
        <v>8</v>
      </c>
      <c r="B121" s="1">
        <v>4290</v>
      </c>
      <c r="C121">
        <v>0</v>
      </c>
      <c r="E121">
        <v>1680</v>
      </c>
      <c r="F121" s="8">
        <f>E121*B121</f>
        <v>7207200</v>
      </c>
      <c r="G121" s="24">
        <f>E121/70</f>
        <v>24</v>
      </c>
      <c r="I121" s="9" t="s">
        <v>10</v>
      </c>
      <c r="L121" s="28" t="s">
        <v>82</v>
      </c>
      <c r="M121" s="33" t="s">
        <v>85</v>
      </c>
      <c r="N121" s="33" t="s">
        <v>85</v>
      </c>
      <c r="O121" s="33" t="s">
        <v>134</v>
      </c>
    </row>
    <row r="122" spans="1:15" ht="14.7" thickBot="1" x14ac:dyDescent="0.6">
      <c r="A122" s="11"/>
      <c r="B122" s="12"/>
      <c r="C122" s="12"/>
      <c r="D122" s="12"/>
      <c r="E122" s="15" t="s">
        <v>19</v>
      </c>
      <c r="F122" s="16">
        <f>SUM(F120:F121,F114:F117)</f>
        <v>56133240</v>
      </c>
      <c r="G122" s="15"/>
      <c r="H122" s="15" t="s">
        <v>20</v>
      </c>
      <c r="I122" s="17">
        <f>F122/$L$1</f>
        <v>128.42576194258055</v>
      </c>
    </row>
    <row r="123" spans="1:15" x14ac:dyDescent="0.55000000000000004">
      <c r="G123" s="23">
        <f>1-G117/$L$1</f>
        <v>1</v>
      </c>
      <c r="H123" t="s">
        <v>47</v>
      </c>
      <c r="I123" s="21">
        <f>(E115*'Available Land_Plant Land Use'!$D$13+E116*'Available Land_Plant Land Use'!$D$14)/1000000</f>
        <v>5.7918660320000006</v>
      </c>
    </row>
    <row r="124" spans="1:15" x14ac:dyDescent="0.55000000000000004">
      <c r="G124" t="s">
        <v>66</v>
      </c>
    </row>
  </sheetData>
  <mergeCells count="19">
    <mergeCell ref="U64:X64"/>
    <mergeCell ref="B63:C63"/>
    <mergeCell ref="E63:I63"/>
    <mergeCell ref="U3:Y3"/>
    <mergeCell ref="B33:C33"/>
    <mergeCell ref="E33:I33"/>
    <mergeCell ref="B48:C48"/>
    <mergeCell ref="E48:I48"/>
    <mergeCell ref="B3:C3"/>
    <mergeCell ref="E3:I3"/>
    <mergeCell ref="B18:C18"/>
    <mergeCell ref="E18:I18"/>
    <mergeCell ref="L112:O112"/>
    <mergeCell ref="B83:C83"/>
    <mergeCell ref="E83:I83"/>
    <mergeCell ref="B112:C112"/>
    <mergeCell ref="E112:I112"/>
    <mergeCell ref="B99:C99"/>
    <mergeCell ref="E99:I99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C9DB-2531-4440-8E80-EEA346358561}">
  <dimension ref="B2:G18"/>
  <sheetViews>
    <sheetView tabSelected="1" topLeftCell="A4" workbookViewId="0">
      <selection activeCell="F14" sqref="F14"/>
    </sheetView>
  </sheetViews>
  <sheetFormatPr defaultRowHeight="14.4" x14ac:dyDescent="0.55000000000000004"/>
  <cols>
    <col min="2" max="2" width="30.20703125" bestFit="1" customWidth="1"/>
    <col min="3" max="3" width="24.62890625" customWidth="1"/>
    <col min="4" max="4" width="17.20703125" bestFit="1" customWidth="1"/>
    <col min="6" max="6" width="9.68359375" bestFit="1" customWidth="1"/>
  </cols>
  <sheetData>
    <row r="2" spans="2:7" x14ac:dyDescent="0.55000000000000004">
      <c r="B2" t="s">
        <v>67</v>
      </c>
    </row>
    <row r="4" spans="2:7" x14ac:dyDescent="0.55000000000000004">
      <c r="B4" t="s">
        <v>38</v>
      </c>
      <c r="C4" t="s">
        <v>48</v>
      </c>
      <c r="D4" t="s">
        <v>41</v>
      </c>
    </row>
    <row r="5" spans="2:7" x14ac:dyDescent="0.55000000000000004">
      <c r="B5" t="s">
        <v>39</v>
      </c>
      <c r="C5" s="22">
        <f>D5/4046.86</f>
        <v>135.68368809397904</v>
      </c>
      <c r="D5" s="20">
        <v>549092.89</v>
      </c>
    </row>
    <row r="6" spans="2:7" x14ac:dyDescent="0.55000000000000004">
      <c r="B6" t="s">
        <v>40</v>
      </c>
      <c r="C6" s="22">
        <f>D6/4046.86</f>
        <v>441.57692630829825</v>
      </c>
      <c r="D6" s="20">
        <v>1787000</v>
      </c>
    </row>
    <row r="10" spans="2:7" x14ac:dyDescent="0.55000000000000004">
      <c r="B10" t="s">
        <v>42</v>
      </c>
    </row>
    <row r="12" spans="2:7" x14ac:dyDescent="0.55000000000000004">
      <c r="B12" t="s">
        <v>43</v>
      </c>
      <c r="C12" t="s">
        <v>44</v>
      </c>
      <c r="D12" t="s">
        <v>46</v>
      </c>
      <c r="F12" t="s">
        <v>135</v>
      </c>
    </row>
    <row r="13" spans="2:7" x14ac:dyDescent="0.55000000000000004">
      <c r="B13" t="s">
        <v>26</v>
      </c>
      <c r="C13">
        <v>4.2</v>
      </c>
      <c r="D13">
        <f>C13*4046.86</f>
        <v>16996.812000000002</v>
      </c>
      <c r="F13" s="21">
        <f>120*D13/1000000</f>
        <v>2.0396174400000002</v>
      </c>
      <c r="G13" t="s">
        <v>108</v>
      </c>
    </row>
    <row r="14" spans="2:7" x14ac:dyDescent="0.55000000000000004">
      <c r="B14" t="s">
        <v>5</v>
      </c>
      <c r="C14">
        <v>6.5</v>
      </c>
      <c r="D14">
        <f>C14*4046.86</f>
        <v>26304.59</v>
      </c>
    </row>
    <row r="15" spans="2:7" x14ac:dyDescent="0.55000000000000004">
      <c r="B15" t="s">
        <v>3</v>
      </c>
      <c r="C15" t="s">
        <v>45</v>
      </c>
    </row>
    <row r="18" spans="3:4" x14ac:dyDescent="0.55000000000000004">
      <c r="C18">
        <v>1</v>
      </c>
      <c r="D18">
        <f>C18*4046.86</f>
        <v>4046.86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42AAE-DCB6-4D9A-AA75-3CD021084AB4}">
  <dimension ref="A1"/>
  <sheetViews>
    <sheetView workbookViewId="0">
      <selection activeCell="H19" sqref="H19"/>
    </sheetView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Hydrogen</vt:lpstr>
      <vt:lpstr>Anitgua Current System</vt:lpstr>
      <vt:lpstr>Only Wind,PV,Batteries</vt:lpstr>
      <vt:lpstr>CSP</vt:lpstr>
      <vt:lpstr>Small Diesel</vt:lpstr>
      <vt:lpstr>Available Land_Plant Land Use</vt:lpstr>
      <vt:lpstr>Best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2022-11-30T04:24:00Z</dcterms:created>
  <dcterms:modified xsi:type="dcterms:W3CDTF">2023-05-27T03:02:31Z</dcterms:modified>
</cp:coreProperties>
</file>