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Research\Publication Material\"/>
    </mc:Choice>
  </mc:AlternateContent>
  <xr:revisionPtr revIDLastSave="0" documentId="13_ncr:1_{17D4C77C-D7F2-492C-B971-F1701CFCE974}" xr6:coauthVersionLast="47" xr6:coauthVersionMax="47" xr10:uidLastSave="{00000000-0000-0000-0000-000000000000}"/>
  <bookViews>
    <workbookView xWindow="-96" yWindow="-96" windowWidth="23232" windowHeight="12432" activeTab="2" xr2:uid="{C0F29E10-10FD-46EA-AD34-D344F4DEDBD1}"/>
  </bookViews>
  <sheets>
    <sheet name="CSP" sheetId="5" r:id="rId1"/>
    <sheet name="Hydrogen" sheetId="1" r:id="rId2"/>
    <sheet name="Only Wind, PV, Batterie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5" l="1"/>
  <c r="H35" i="1"/>
  <c r="E35" i="1"/>
  <c r="E2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B21" i="3"/>
  <c r="I8" i="3"/>
  <c r="D32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B18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B17" i="3"/>
  <c r="D16" i="3"/>
  <c r="I16" i="3"/>
  <c r="J16" i="3"/>
  <c r="L16" i="3"/>
  <c r="Q16" i="3"/>
  <c r="R16" i="3"/>
  <c r="B16" i="3"/>
  <c r="D33" i="3"/>
  <c r="B33" i="3"/>
  <c r="C33" i="3" s="1"/>
  <c r="C28" i="3"/>
  <c r="E16" i="3" s="1"/>
  <c r="D28" i="3"/>
  <c r="C29" i="3"/>
  <c r="B15" i="3"/>
  <c r="C15" i="3" s="1"/>
  <c r="D15" i="3" s="1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I9" i="3"/>
  <c r="H7" i="3"/>
  <c r="F7" i="3"/>
  <c r="H4" i="3"/>
  <c r="F4" i="3"/>
  <c r="H3" i="3"/>
  <c r="F3" i="3"/>
  <c r="F8" i="3" s="1"/>
  <c r="B22" i="3" l="1"/>
  <c r="B20" i="3" s="1"/>
  <c r="S16" i="3"/>
  <c r="K16" i="3"/>
  <c r="C16" i="3"/>
  <c r="P16" i="3"/>
  <c r="H16" i="3"/>
  <c r="O16" i="3"/>
  <c r="G16" i="3"/>
  <c r="N16" i="3"/>
  <c r="F16" i="3"/>
  <c r="M16" i="3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S22" i="3" s="1"/>
  <c r="S20" i="3" s="1"/>
  <c r="B23" i="3" l="1"/>
  <c r="N22" i="3"/>
  <c r="N20" i="3" s="1"/>
  <c r="I22" i="3"/>
  <c r="I20" i="3" s="1"/>
  <c r="E22" i="3"/>
  <c r="E20" i="3" s="1"/>
  <c r="G22" i="3"/>
  <c r="G20" i="3" s="1"/>
  <c r="O22" i="3"/>
  <c r="O20" i="3" s="1"/>
  <c r="Q22" i="3"/>
  <c r="Q20" i="3" s="1"/>
  <c r="M22" i="3"/>
  <c r="M20" i="3" s="1"/>
  <c r="R22" i="3"/>
  <c r="R20" i="3" s="1"/>
  <c r="D22" i="3"/>
  <c r="D20" i="3" s="1"/>
  <c r="L22" i="3"/>
  <c r="L20" i="3" s="1"/>
  <c r="H22" i="3"/>
  <c r="H20" i="3" s="1"/>
  <c r="C22" i="3"/>
  <c r="C20" i="3" s="1"/>
  <c r="P22" i="3"/>
  <c r="P20" i="3" s="1"/>
  <c r="F22" i="3"/>
  <c r="F20" i="3" s="1"/>
  <c r="K22" i="3"/>
  <c r="K20" i="3" s="1"/>
  <c r="J22" i="3"/>
  <c r="J20" i="3" s="1"/>
  <c r="G23" i="1"/>
  <c r="B23" i="1"/>
  <c r="C23" i="1"/>
  <c r="D23" i="1"/>
  <c r="E23" i="1"/>
  <c r="F23" i="1"/>
  <c r="J23" i="1"/>
  <c r="K23" i="1"/>
  <c r="L23" i="1"/>
  <c r="M23" i="1"/>
  <c r="N23" i="1"/>
  <c r="R23" i="1"/>
  <c r="S23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G39" i="1" s="1"/>
  <c r="C26" i="1"/>
  <c r="D26" i="1"/>
  <c r="E26" i="1"/>
  <c r="F26" i="1"/>
  <c r="G26" i="1"/>
  <c r="H26" i="1"/>
  <c r="I26" i="1"/>
  <c r="H38" i="1" s="1"/>
  <c r="J26" i="1"/>
  <c r="K26" i="1"/>
  <c r="L26" i="1"/>
  <c r="M26" i="1"/>
  <c r="N26" i="1"/>
  <c r="O26" i="1"/>
  <c r="P26" i="1"/>
  <c r="Q26" i="1"/>
  <c r="R26" i="1"/>
  <c r="S26" i="1"/>
  <c r="H39" i="1" s="1"/>
  <c r="C24" i="1"/>
  <c r="D24" i="1"/>
  <c r="E24" i="1"/>
  <c r="F24" i="1"/>
  <c r="G24" i="1"/>
  <c r="H24" i="1"/>
  <c r="I24" i="1"/>
  <c r="F38" i="1" s="1"/>
  <c r="J24" i="1"/>
  <c r="K24" i="1"/>
  <c r="L24" i="1"/>
  <c r="M24" i="1"/>
  <c r="N24" i="1"/>
  <c r="O24" i="1"/>
  <c r="P24" i="1"/>
  <c r="Q24" i="1"/>
  <c r="R24" i="1"/>
  <c r="S24" i="1"/>
  <c r="B26" i="1"/>
  <c r="B25" i="1"/>
  <c r="B24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B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D39" i="1" s="1"/>
  <c r="B21" i="1"/>
  <c r="D28" i="1"/>
  <c r="E28" i="1" s="1"/>
  <c r="F28" i="1" s="1"/>
  <c r="G28" i="1" s="1"/>
  <c r="C28" i="1"/>
  <c r="B28" i="1"/>
  <c r="F39" i="1"/>
  <c r="G35" i="1"/>
  <c r="F35" i="1"/>
  <c r="D40" i="1"/>
  <c r="B40" i="1"/>
  <c r="C40" i="1" s="1"/>
  <c r="G38" i="1"/>
  <c r="D35" i="1"/>
  <c r="C35" i="1"/>
  <c r="O20" i="1" s="1"/>
  <c r="O29" i="1" s="1"/>
  <c r="O27" i="1" s="1"/>
  <c r="C36" i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I14" i="1"/>
  <c r="F12" i="1"/>
  <c r="F11" i="1"/>
  <c r="G8" i="1"/>
  <c r="F8" i="1"/>
  <c r="G7" i="1"/>
  <c r="F7" i="1"/>
  <c r="H4" i="1"/>
  <c r="F4" i="1"/>
  <c r="H3" i="1"/>
  <c r="F3" i="1"/>
  <c r="C20" i="1" l="1"/>
  <c r="C29" i="1" s="1"/>
  <c r="C27" i="1" s="1"/>
  <c r="M20" i="1"/>
  <c r="M29" i="1" s="1"/>
  <c r="M27" i="1" s="1"/>
  <c r="I20" i="1"/>
  <c r="I29" i="1" s="1"/>
  <c r="I27" i="1" s="1"/>
  <c r="S20" i="1"/>
  <c r="K20" i="1"/>
  <c r="K29" i="1" s="1"/>
  <c r="K27" i="1" s="1"/>
  <c r="N20" i="1"/>
  <c r="N29" i="1" s="1"/>
  <c r="N27" i="1" s="1"/>
  <c r="B20" i="1"/>
  <c r="B29" i="1" s="1"/>
  <c r="B27" i="1" s="1"/>
  <c r="H20" i="1"/>
  <c r="H29" i="1" s="1"/>
  <c r="H27" i="1" s="1"/>
  <c r="R20" i="1"/>
  <c r="R29" i="1" s="1"/>
  <c r="R27" i="1" s="1"/>
  <c r="J20" i="1"/>
  <c r="J29" i="1" s="1"/>
  <c r="J27" i="1" s="1"/>
  <c r="D20" i="1"/>
  <c r="D29" i="1" s="1"/>
  <c r="D27" i="1" s="1"/>
  <c r="G20" i="1"/>
  <c r="G29" i="1" s="1"/>
  <c r="G27" i="1" s="1"/>
  <c r="Q20" i="1"/>
  <c r="Q29" i="1" s="1"/>
  <c r="Q27" i="1" s="1"/>
  <c r="L20" i="1"/>
  <c r="L29" i="1" s="1"/>
  <c r="L27" i="1" s="1"/>
  <c r="F20" i="1"/>
  <c r="F29" i="1" s="1"/>
  <c r="F27" i="1" s="1"/>
  <c r="P20" i="1"/>
  <c r="P29" i="1" s="1"/>
  <c r="P27" i="1" s="1"/>
  <c r="E20" i="1"/>
  <c r="E29" i="1" s="1"/>
  <c r="E27" i="1" s="1"/>
  <c r="P23" i="1"/>
  <c r="H23" i="1"/>
  <c r="Q23" i="1"/>
  <c r="I23" i="1"/>
  <c r="O23" i="1"/>
  <c r="H28" i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F13" i="1"/>
  <c r="I13" i="1" s="1"/>
  <c r="B24" i="5"/>
  <c r="B36" i="5"/>
  <c r="C36" i="5" s="1"/>
  <c r="E36" i="5"/>
  <c r="D36" i="5"/>
  <c r="I1" i="5"/>
  <c r="H9" i="5"/>
  <c r="F9" i="5"/>
  <c r="H8" i="5"/>
  <c r="F8" i="5"/>
  <c r="H5" i="5"/>
  <c r="F5" i="5"/>
  <c r="H4" i="5"/>
  <c r="F4" i="5"/>
  <c r="H3" i="5"/>
  <c r="F3" i="5"/>
  <c r="C39" i="1" l="1"/>
  <c r="S29" i="1"/>
  <c r="S27" i="1" s="1"/>
  <c r="C31" i="5"/>
  <c r="F10" i="5"/>
  <c r="I10" i="5" s="1"/>
  <c r="C32" i="5" l="1"/>
  <c r="C16" i="5"/>
  <c r="D16" i="5" s="1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B17" i="5"/>
  <c r="C17" i="5" s="1"/>
  <c r="D17" i="5" s="1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E31" i="5"/>
  <c r="D31" i="5"/>
  <c r="O16" i="5" l="1"/>
  <c r="P16" i="5" s="1"/>
  <c r="Q16" i="5" s="1"/>
  <c r="R16" i="5" s="1"/>
  <c r="S16" i="5" s="1"/>
  <c r="C24" i="5"/>
  <c r="D24" i="5" s="1"/>
  <c r="E24" i="5" s="1"/>
  <c r="F24" i="5" s="1"/>
  <c r="G24" i="5" s="1"/>
  <c r="H24" i="5" s="1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B19" i="5"/>
  <c r="E18" i="5"/>
  <c r="D18" i="5"/>
  <c r="B18" i="5"/>
  <c r="C18" i="5"/>
  <c r="F22" i="5"/>
  <c r="E21" i="5"/>
  <c r="D19" i="5"/>
  <c r="E19" i="5"/>
  <c r="C19" i="5"/>
  <c r="C22" i="5"/>
  <c r="B22" i="5"/>
  <c r="E22" i="5"/>
  <c r="D22" i="5"/>
  <c r="E20" i="5"/>
  <c r="D20" i="5"/>
  <c r="C20" i="5"/>
  <c r="B20" i="5"/>
  <c r="D21" i="5"/>
  <c r="C21" i="5"/>
  <c r="B21" i="5"/>
  <c r="B25" i="5" l="1"/>
  <c r="E25" i="5"/>
  <c r="E23" i="5" s="1"/>
  <c r="D25" i="5"/>
  <c r="D23" i="5" s="1"/>
  <c r="C25" i="5"/>
  <c r="C23" i="5" s="1"/>
  <c r="F18" i="5"/>
  <c r="F19" i="5"/>
  <c r="F21" i="5"/>
  <c r="G18" i="5"/>
  <c r="F20" i="5"/>
  <c r="B26" i="5" l="1"/>
  <c r="B23" i="5"/>
  <c r="D26" i="5"/>
  <c r="C26" i="5"/>
  <c r="E26" i="5"/>
  <c r="F25" i="5"/>
  <c r="F23" i="5" s="1"/>
  <c r="H18" i="5"/>
  <c r="G20" i="5"/>
  <c r="G22" i="5"/>
  <c r="G19" i="5"/>
  <c r="G21" i="5"/>
  <c r="F26" i="5" l="1"/>
  <c r="G25" i="5"/>
  <c r="G23" i="5" s="1"/>
  <c r="I18" i="5"/>
  <c r="C34" i="5" s="1"/>
  <c r="H22" i="5"/>
  <c r="H21" i="5"/>
  <c r="H19" i="5"/>
  <c r="H20" i="5"/>
  <c r="G26" i="5" l="1"/>
  <c r="H25" i="5"/>
  <c r="H23" i="5" s="1"/>
  <c r="J18" i="5"/>
  <c r="I19" i="5"/>
  <c r="B34" i="5" s="1"/>
  <c r="I21" i="5"/>
  <c r="E34" i="5" s="1"/>
  <c r="I20" i="5"/>
  <c r="D34" i="5" s="1"/>
  <c r="I22" i="5"/>
  <c r="F34" i="5" s="1"/>
  <c r="H26" i="5" l="1"/>
  <c r="I25" i="5"/>
  <c r="I23" i="5" s="1"/>
  <c r="K18" i="5"/>
  <c r="J20" i="5"/>
  <c r="J19" i="5"/>
  <c r="J22" i="5"/>
  <c r="J21" i="5"/>
  <c r="I26" i="5" l="1"/>
  <c r="J25" i="5"/>
  <c r="J23" i="5" s="1"/>
  <c r="L18" i="5"/>
  <c r="K22" i="5"/>
  <c r="K19" i="5"/>
  <c r="K21" i="5"/>
  <c r="K20" i="5"/>
  <c r="J26" i="5" l="1"/>
  <c r="K25" i="5"/>
  <c r="K23" i="5" s="1"/>
  <c r="M18" i="5"/>
  <c r="L21" i="5"/>
  <c r="L22" i="5"/>
  <c r="L19" i="5"/>
  <c r="L20" i="5"/>
  <c r="K26" i="5" l="1"/>
  <c r="L25" i="5"/>
  <c r="L23" i="5" s="1"/>
  <c r="N18" i="5"/>
  <c r="M22" i="5"/>
  <c r="M20" i="5"/>
  <c r="M21" i="5"/>
  <c r="M19" i="5"/>
  <c r="L26" i="5" l="1"/>
  <c r="M25" i="5"/>
  <c r="M23" i="5" s="1"/>
  <c r="O18" i="5"/>
  <c r="N21" i="5"/>
  <c r="N20" i="5"/>
  <c r="N19" i="5"/>
  <c r="N22" i="5"/>
  <c r="M26" i="5" l="1"/>
  <c r="N25" i="5"/>
  <c r="N23" i="5" s="1"/>
  <c r="O20" i="5"/>
  <c r="P18" i="5"/>
  <c r="O22" i="5"/>
  <c r="O19" i="5"/>
  <c r="O21" i="5"/>
  <c r="N26" i="5" l="1"/>
  <c r="B27" i="5" s="1"/>
  <c r="O25" i="5"/>
  <c r="O23" i="5" s="1"/>
  <c r="Q18" i="5"/>
  <c r="P22" i="5"/>
  <c r="P19" i="5"/>
  <c r="P21" i="5"/>
  <c r="P20" i="5"/>
  <c r="O26" i="5" l="1"/>
  <c r="P25" i="5"/>
  <c r="P23" i="5" s="1"/>
  <c r="R18" i="5"/>
  <c r="Q19" i="5"/>
  <c r="Q21" i="5"/>
  <c r="Q20" i="5"/>
  <c r="Q22" i="5"/>
  <c r="P26" i="5" l="1"/>
  <c r="Q25" i="5"/>
  <c r="Q23" i="5" s="1"/>
  <c r="S18" i="5"/>
  <c r="C35" i="5" s="1"/>
  <c r="R20" i="5"/>
  <c r="R19" i="5"/>
  <c r="R22" i="5"/>
  <c r="R21" i="5"/>
  <c r="Q26" i="5" l="1"/>
  <c r="R25" i="5"/>
  <c r="R23" i="5" s="1"/>
  <c r="S22" i="5"/>
  <c r="F35" i="5" s="1"/>
  <c r="S21" i="5"/>
  <c r="E35" i="5" s="1"/>
  <c r="S20" i="5"/>
  <c r="D35" i="5" s="1"/>
  <c r="S19" i="5"/>
  <c r="B35" i="5" s="1"/>
  <c r="R26" i="5" l="1"/>
  <c r="S25" i="5"/>
  <c r="S23" i="5" s="1"/>
  <c r="S26" i="5" l="1"/>
  <c r="C38" i="1" l="1"/>
  <c r="B39" i="1"/>
  <c r="B38" i="1"/>
  <c r="B30" i="1"/>
  <c r="N30" i="1" l="1"/>
  <c r="B31" i="1" s="1"/>
  <c r="H30" i="1"/>
  <c r="F30" i="1"/>
  <c r="D30" i="1"/>
  <c r="G30" i="1"/>
  <c r="J30" i="1"/>
  <c r="K30" i="1"/>
  <c r="D38" i="1"/>
  <c r="I30" i="1"/>
  <c r="O30" i="1"/>
  <c r="C30" i="1"/>
  <c r="L30" i="1"/>
  <c r="Q30" i="1"/>
  <c r="P30" i="1"/>
  <c r="S30" i="1"/>
  <c r="R30" i="1"/>
  <c r="E30" i="1" l="1"/>
  <c r="M30" i="1"/>
  <c r="E38" i="1"/>
  <c r="E39" i="1"/>
  <c r="C31" i="3" l="1"/>
  <c r="C32" i="3"/>
  <c r="B31" i="3"/>
  <c r="B32" i="3"/>
  <c r="D31" i="3"/>
  <c r="C23" i="3" l="1"/>
  <c r="D23" i="3" l="1"/>
  <c r="E23" i="3" l="1"/>
  <c r="F23" i="3" l="1"/>
  <c r="G23" i="3" l="1"/>
  <c r="H23" i="3" l="1"/>
  <c r="I23" i="3" l="1"/>
  <c r="J23" i="3" l="1"/>
  <c r="K23" i="3" l="1"/>
  <c r="L23" i="3" l="1"/>
  <c r="M23" i="3" l="1"/>
  <c r="N23" i="3" l="1"/>
  <c r="B24" i="3" s="1"/>
  <c r="O23" i="3" l="1"/>
  <c r="P23" i="3" l="1"/>
  <c r="R23" i="3" l="1"/>
  <c r="Q23" i="3"/>
  <c r="E31" i="3" l="1"/>
  <c r="E32" i="3"/>
  <c r="S23" i="3" l="1"/>
</calcChain>
</file>

<file path=xl/sharedStrings.xml><?xml version="1.0" encoding="utf-8"?>
<sst xmlns="http://schemas.openxmlformats.org/spreadsheetml/2006/main" count="187" uniqueCount="65">
  <si>
    <t>Generators</t>
  </si>
  <si>
    <t>Capital Cost ($/MW)</t>
  </si>
  <si>
    <t>Marginal Cost ($/MWh)</t>
  </si>
  <si>
    <t>MWh</t>
  </si>
  <si>
    <t>Cost ($)</t>
  </si>
  <si>
    <t>Energy Generation (MWh)</t>
  </si>
  <si>
    <t>Capacity Factor</t>
  </si>
  <si>
    <t>Max/min?</t>
  </si>
  <si>
    <t>Wind</t>
  </si>
  <si>
    <t>none</t>
  </si>
  <si>
    <t>PV</t>
  </si>
  <si>
    <t>CSP</t>
  </si>
  <si>
    <t>Diesel</t>
  </si>
  <si>
    <t>max</t>
  </si>
  <si>
    <t>Batteries</t>
  </si>
  <si>
    <t>e_initial</t>
  </si>
  <si>
    <t>Hours of Storage</t>
  </si>
  <si>
    <t>Utility</t>
  </si>
  <si>
    <t>Thermal</t>
  </si>
  <si>
    <t>Hydrogen Storage</t>
  </si>
  <si>
    <t>Links</t>
  </si>
  <si>
    <t>MW</t>
  </si>
  <si>
    <t>Hydrogen Electrolyzer</t>
  </si>
  <si>
    <t>Hydrogen Fuel Cell</t>
  </si>
  <si>
    <t>Capital Cost:</t>
  </si>
  <si>
    <t>LCOE ($/MWh):</t>
  </si>
  <si>
    <t>Land Use (km^2):</t>
  </si>
  <si>
    <t>Logistics Equation</t>
  </si>
  <si>
    <t>Time since 2023</t>
  </si>
  <si>
    <t>K(Po)e^(rt)/(K+Po(e^rt-1))</t>
  </si>
  <si>
    <t>Po = = Initial Population</t>
  </si>
  <si>
    <t>K = Carrying Capacity</t>
  </si>
  <si>
    <t>t = time from 2023</t>
  </si>
  <si>
    <t>r = growth rate</t>
  </si>
  <si>
    <t>r=</t>
  </si>
  <si>
    <t>to=</t>
  </si>
  <si>
    <t>Year</t>
  </si>
  <si>
    <t>Variables</t>
  </si>
  <si>
    <t>Po= MW original</t>
  </si>
  <si>
    <t>K= MW final</t>
  </si>
  <si>
    <t>Wind Capacity</t>
  </si>
  <si>
    <t>CSP Capacity</t>
  </si>
  <si>
    <t>2030 value</t>
  </si>
  <si>
    <t>Rooftop Solar</t>
  </si>
  <si>
    <t>Utility Solar</t>
  </si>
  <si>
    <t>Rooftop Solar Capacity</t>
  </si>
  <si>
    <t>Utility Solar Capacity</t>
  </si>
  <si>
    <t>Po = Initial Population</t>
  </si>
  <si>
    <t>50MW Wind</t>
  </si>
  <si>
    <t>Power Generation (MWh)</t>
  </si>
  <si>
    <t>Capital Cost ($/MWh)</t>
  </si>
  <si>
    <t>2035 Load (MWh):</t>
  </si>
  <si>
    <t>2023 Load (MWh)</t>
  </si>
  <si>
    <t>MWh/MW</t>
  </si>
  <si>
    <t>Utility Battery</t>
  </si>
  <si>
    <t>Utilitty Battery Capacity</t>
  </si>
  <si>
    <t>Energy</t>
  </si>
  <si>
    <t>Diesel Demand</t>
  </si>
  <si>
    <t>RE Penetration</t>
  </si>
  <si>
    <t>RE 2035 Penetration</t>
  </si>
  <si>
    <t>2040 value</t>
  </si>
  <si>
    <t>No CSP</t>
  </si>
  <si>
    <t>Utility Battery Capacity</t>
  </si>
  <si>
    <t>National Demand (MWh)</t>
  </si>
  <si>
    <t>Diesel Demand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</si>
</sst>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44" fontId="0" fillId="0" borderId="0" xfId="0" applyNumberFormat="1"/>
    <xf numFmtId="165" fontId="0" fillId="0" borderId="0" xfId="2" applyNumberFormat="1" applyFont="1"/>
    <xf numFmtId="0" fontId="0" fillId="0" borderId="6" xfId="0" applyBorder="1"/>
    <xf numFmtId="44" fontId="0" fillId="0" borderId="0" xfId="1" applyFont="1" applyBorder="1"/>
    <xf numFmtId="0" fontId="0" fillId="3" borderId="5" xfId="0" applyFill="1" applyBorder="1"/>
    <xf numFmtId="44" fontId="0" fillId="0" borderId="0" xfId="1" applyFont="1"/>
    <xf numFmtId="166" fontId="0" fillId="0" borderId="0" xfId="0" applyNumberFormat="1"/>
    <xf numFmtId="0" fontId="0" fillId="0" borderId="7" xfId="0" applyBorder="1"/>
    <xf numFmtId="0" fontId="0" fillId="0" borderId="2" xfId="0" applyBorder="1"/>
    <xf numFmtId="0" fontId="0" fillId="4" borderId="2" xfId="0" applyFill="1" applyBorder="1"/>
    <xf numFmtId="44" fontId="0" fillId="4" borderId="2" xfId="0" applyNumberFormat="1" applyFill="1" applyBorder="1"/>
    <xf numFmtId="2" fontId="0" fillId="4" borderId="8" xfId="0" applyNumberFormat="1" applyFill="1" applyBorder="1"/>
    <xf numFmtId="167" fontId="0" fillId="0" borderId="0" xfId="0" applyNumberFormat="1"/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6" fontId="0" fillId="0" borderId="9" xfId="0" applyNumberFormat="1" applyBorder="1"/>
    <xf numFmtId="44" fontId="0" fillId="0" borderId="2" xfId="1" applyFont="1" applyBorder="1"/>
    <xf numFmtId="9" fontId="0" fillId="0" borderId="0" xfId="2" applyFont="1"/>
    <xf numFmtId="166" fontId="0" fillId="0" borderId="11" xfId="0" applyNumberFormat="1" applyBorder="1"/>
    <xf numFmtId="1" fontId="0" fillId="0" borderId="9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</a:t>
            </a:r>
            <a:r>
              <a:rPr lang="en-US" baseline="0"/>
              <a:t> MW Installations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CSP!$D$18:$U$18</c:f>
              <c:numCache>
                <c:formatCode>0.0</c:formatCode>
                <c:ptCount val="18"/>
                <c:pt idx="0">
                  <c:v>16.429145607683719</c:v>
                </c:pt>
                <c:pt idx="1">
                  <c:v>24.684002676677355</c:v>
                </c:pt>
                <c:pt idx="2">
                  <c:v>36.32016911014567</c:v>
                </c:pt>
                <c:pt idx="3">
                  <c:v>51.929072288046228</c:v>
                </c:pt>
                <c:pt idx="4">
                  <c:v>71.530224175410453</c:v>
                </c:pt>
                <c:pt idx="5">
                  <c:v>94.202900496547315</c:v>
                </c:pt>
                <c:pt idx="6">
                  <c:v>118.06453202637462</c:v>
                </c:pt>
                <c:pt idx="7">
                  <c:v>140.8063752949212</c:v>
                </c:pt>
                <c:pt idx="8">
                  <c:v>160.52188173313868</c:v>
                </c:pt>
                <c:pt idx="9">
                  <c:v>176.25817222120105</c:v>
                </c:pt>
                <c:pt idx="10">
                  <c:v>188.01032143305719</c:v>
                </c:pt>
                <c:pt idx="11">
                  <c:v>196.35836937892344</c:v>
                </c:pt>
                <c:pt idx="12">
                  <c:v>202.07965077431641</c:v>
                </c:pt>
                <c:pt idx="13">
                  <c:v>205.90506442664295</c:v>
                </c:pt>
                <c:pt idx="14">
                  <c:v>208.42079631541023</c:v>
                </c:pt>
                <c:pt idx="15">
                  <c:v>210.05724531591517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A-4C67-838B-F16CF239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888352"/>
        <c:axId val="513764128"/>
      </c:lineChart>
      <c:catAx>
        <c:axId val="91688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64128"/>
        <c:crosses val="autoZero"/>
        <c:auto val="1"/>
        <c:lblAlgn val="ctr"/>
        <c:lblOffset val="100"/>
        <c:noMultiLvlLbl val="0"/>
      </c:catAx>
      <c:valAx>
        <c:axId val="5137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8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26</xdr:row>
      <xdr:rowOff>108585</xdr:rowOff>
    </xdr:from>
    <xdr:to>
      <xdr:col>20</xdr:col>
      <xdr:colOff>243840</xdr:colOff>
      <xdr:row>42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8DF6B-1B79-68C3-9E75-2CE479288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OneDrive\Desktop\Research\Patrick_Antigua_Analysis\PyPSA%20work\2035_Results%20Summary.xlsx" TargetMode="External"/><Relationship Id="rId1" Type="http://schemas.openxmlformats.org/officeDocument/2006/relationships/externalLinkPath" Target="2035_Results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ydrogen"/>
      <sheetName val="Anitgua Current System"/>
      <sheetName val="Only Wind,PV,Batteries"/>
      <sheetName val="CSP"/>
      <sheetName val="Small Diesel"/>
      <sheetName val="Available Land_Plant Land Use"/>
      <sheetName val="Best Results"/>
    </sheetNames>
    <sheetDataSet>
      <sheetData sheetId="0"/>
      <sheetData sheetId="1"/>
      <sheetData sheetId="2"/>
      <sheetData sheetId="3"/>
      <sheetData sheetId="4"/>
      <sheetData sheetId="5">
        <row r="13">
          <cell r="D13">
            <v>16996.812000000002</v>
          </cell>
        </row>
        <row r="14">
          <cell r="D14">
            <v>26304.59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F4C0-ECDA-43BC-BDC6-AD6E338C0262}">
  <dimension ref="A1:EP175"/>
  <sheetViews>
    <sheetView topLeftCell="A12" workbookViewId="0">
      <selection activeCell="B32" sqref="B32"/>
    </sheetView>
  </sheetViews>
  <sheetFormatPr defaultRowHeight="14.4" x14ac:dyDescent="0.55000000000000004"/>
  <cols>
    <col min="1" max="1" width="40.5234375" bestFit="1" customWidth="1"/>
    <col min="2" max="2" width="17.05078125" bestFit="1" customWidth="1"/>
    <col min="3" max="3" width="19.41796875" bestFit="1" customWidth="1"/>
    <col min="5" max="5" width="10.5234375" bestFit="1" customWidth="1"/>
    <col min="6" max="6" width="14.3125" bestFit="1" customWidth="1"/>
    <col min="7" max="7" width="21.47265625" bestFit="1" customWidth="1"/>
    <col min="8" max="8" width="14.41796875" bestFit="1" customWidth="1"/>
    <col min="9" max="9" width="8.7890625" bestFit="1" customWidth="1"/>
    <col min="11" max="11" width="21.26171875" bestFit="1" customWidth="1"/>
    <col min="12" max="12" width="34.26171875" bestFit="1" customWidth="1"/>
    <col min="13" max="13" width="13.83984375" bestFit="1" customWidth="1"/>
    <col min="14" max="14" width="10.7890625" bestFit="1" customWidth="1"/>
    <col min="15" max="15" width="15.578125" bestFit="1" customWidth="1"/>
  </cols>
  <sheetData>
    <row r="1" spans="1:19" ht="14.7" thickBot="1" x14ac:dyDescent="0.6">
      <c r="A1" s="1" t="s">
        <v>48</v>
      </c>
      <c r="H1" t="s">
        <v>26</v>
      </c>
      <c r="I1" s="19">
        <f>(E4*'[1]Available Land_Plant Land Use'!$D$13+E5*'[1]Available Land_Plant Land Use'!$D$14)/1000000</f>
        <v>6.1334210160000007</v>
      </c>
      <c r="K1" t="s">
        <v>27</v>
      </c>
    </row>
    <row r="2" spans="1:19" x14ac:dyDescent="0.55000000000000004">
      <c r="A2" s="2" t="s">
        <v>0</v>
      </c>
      <c r="B2" s="3" t="s">
        <v>1</v>
      </c>
      <c r="C2" s="3"/>
      <c r="D2" s="3"/>
      <c r="E2" s="3" t="s">
        <v>21</v>
      </c>
      <c r="F2" s="3" t="s">
        <v>4</v>
      </c>
      <c r="G2" s="3" t="s">
        <v>49</v>
      </c>
      <c r="H2" s="3" t="s">
        <v>6</v>
      </c>
      <c r="I2" s="4" t="s">
        <v>7</v>
      </c>
      <c r="K2" t="s">
        <v>29</v>
      </c>
    </row>
    <row r="3" spans="1:19" x14ac:dyDescent="0.55000000000000004">
      <c r="A3" s="5" t="s">
        <v>8</v>
      </c>
      <c r="B3" s="6">
        <v>116276</v>
      </c>
      <c r="E3">
        <v>50</v>
      </c>
      <c r="F3" s="7">
        <f>E3*B3</f>
        <v>5813800</v>
      </c>
      <c r="G3">
        <v>184236</v>
      </c>
      <c r="H3" s="8">
        <f>G3/(E3*8760)</f>
        <v>0.42063013698630136</v>
      </c>
      <c r="I3" s="9" t="s">
        <v>13</v>
      </c>
      <c r="K3" t="s">
        <v>47</v>
      </c>
    </row>
    <row r="4" spans="1:19" x14ac:dyDescent="0.55000000000000004">
      <c r="A4" s="5" t="s">
        <v>10</v>
      </c>
      <c r="B4" s="6">
        <v>75772</v>
      </c>
      <c r="E4">
        <v>333</v>
      </c>
      <c r="F4" s="7">
        <f>E4*B4</f>
        <v>25232076</v>
      </c>
      <c r="G4">
        <v>236869</v>
      </c>
      <c r="H4" s="8">
        <f>G4/(E4*8760)</f>
        <v>8.1200721269214418E-2</v>
      </c>
      <c r="I4" s="9" t="s">
        <v>9</v>
      </c>
      <c r="K4" t="s">
        <v>31</v>
      </c>
    </row>
    <row r="5" spans="1:19" x14ac:dyDescent="0.55000000000000004">
      <c r="A5" s="5" t="s">
        <v>11</v>
      </c>
      <c r="B5" s="10">
        <v>291720</v>
      </c>
      <c r="E5">
        <v>18</v>
      </c>
      <c r="F5" s="7">
        <f>E5*B5</f>
        <v>5250960</v>
      </c>
      <c r="G5">
        <v>27354</v>
      </c>
      <c r="H5" s="8">
        <f>G5/(E5*8760)</f>
        <v>0.17347792998477929</v>
      </c>
      <c r="I5" s="9" t="s">
        <v>9</v>
      </c>
      <c r="K5" t="s">
        <v>32</v>
      </c>
    </row>
    <row r="6" spans="1:19" ht="14.7" thickBot="1" x14ac:dyDescent="0.6">
      <c r="A6" s="5"/>
      <c r="I6" s="9"/>
      <c r="K6" t="s">
        <v>33</v>
      </c>
    </row>
    <row r="7" spans="1:19" x14ac:dyDescent="0.55000000000000004">
      <c r="A7" s="11" t="s">
        <v>14</v>
      </c>
      <c r="B7" t="s">
        <v>50</v>
      </c>
      <c r="C7" t="s">
        <v>15</v>
      </c>
      <c r="E7" t="s">
        <v>3</v>
      </c>
      <c r="F7" s="3" t="s">
        <v>4</v>
      </c>
      <c r="H7" t="s">
        <v>16</v>
      </c>
      <c r="I7" s="4" t="s">
        <v>7</v>
      </c>
    </row>
    <row r="8" spans="1:19" x14ac:dyDescent="0.55000000000000004">
      <c r="A8" s="5" t="s">
        <v>17</v>
      </c>
      <c r="B8" s="12">
        <v>15700</v>
      </c>
      <c r="C8">
        <v>58</v>
      </c>
      <c r="E8">
        <v>542</v>
      </c>
      <c r="F8" s="7">
        <f>E8*B8</f>
        <v>8509400</v>
      </c>
      <c r="G8" s="7"/>
      <c r="H8" s="20">
        <f>E8/70</f>
        <v>7.7428571428571429</v>
      </c>
      <c r="I8" s="9" t="s">
        <v>9</v>
      </c>
    </row>
    <row r="9" spans="1:19" x14ac:dyDescent="0.55000000000000004">
      <c r="A9" s="5" t="s">
        <v>18</v>
      </c>
      <c r="B9" s="12">
        <v>4290</v>
      </c>
      <c r="C9">
        <v>873</v>
      </c>
      <c r="E9">
        <v>1680</v>
      </c>
      <c r="F9" s="7">
        <f>E9*B9</f>
        <v>7207200</v>
      </c>
      <c r="G9" s="7"/>
      <c r="H9">
        <f>E9/70</f>
        <v>24</v>
      </c>
      <c r="I9" s="9" t="s">
        <v>13</v>
      </c>
    </row>
    <row r="10" spans="1:19" ht="14.7" thickBot="1" x14ac:dyDescent="0.6">
      <c r="A10" s="14"/>
      <c r="B10" s="26"/>
      <c r="C10" s="15"/>
      <c r="D10" s="15"/>
      <c r="E10" s="16" t="s">
        <v>24</v>
      </c>
      <c r="F10" s="17">
        <f>SUM(F8:F9,F3:F5)</f>
        <v>52013436</v>
      </c>
      <c r="G10" s="17"/>
      <c r="H10" s="16" t="s">
        <v>25</v>
      </c>
      <c r="I10" s="18">
        <f>F10/I12</f>
        <v>119.0001708355272</v>
      </c>
    </row>
    <row r="12" spans="1:19" x14ac:dyDescent="0.55000000000000004">
      <c r="H12" t="s">
        <v>51</v>
      </c>
      <c r="I12">
        <v>437087.06999999972</v>
      </c>
    </row>
    <row r="13" spans="1:19" x14ac:dyDescent="0.55000000000000004">
      <c r="H13" t="s">
        <v>52</v>
      </c>
      <c r="I13">
        <v>361735.36589999998</v>
      </c>
    </row>
    <row r="16" spans="1:19" x14ac:dyDescent="0.55000000000000004">
      <c r="A16" t="s">
        <v>36</v>
      </c>
      <c r="B16">
        <v>2023</v>
      </c>
      <c r="C16">
        <f>B16+1</f>
        <v>2024</v>
      </c>
      <c r="D16">
        <f t="shared" ref="D16:R17" si="0">C16+1</f>
        <v>2025</v>
      </c>
      <c r="E16">
        <f t="shared" si="0"/>
        <v>2026</v>
      </c>
      <c r="F16">
        <f t="shared" si="0"/>
        <v>2027</v>
      </c>
      <c r="G16">
        <f t="shared" si="0"/>
        <v>2028</v>
      </c>
      <c r="H16">
        <f t="shared" si="0"/>
        <v>2029</v>
      </c>
      <c r="I16">
        <f t="shared" si="0"/>
        <v>2030</v>
      </c>
      <c r="J16">
        <f t="shared" si="0"/>
        <v>2031</v>
      </c>
      <c r="K16">
        <f t="shared" si="0"/>
        <v>2032</v>
      </c>
      <c r="L16">
        <f t="shared" si="0"/>
        <v>2033</v>
      </c>
      <c r="M16">
        <f t="shared" si="0"/>
        <v>2034</v>
      </c>
      <c r="N16">
        <f t="shared" si="0"/>
        <v>2035</v>
      </c>
      <c r="O16">
        <f t="shared" si="0"/>
        <v>2036</v>
      </c>
      <c r="P16">
        <f>O16+1</f>
        <v>2037</v>
      </c>
      <c r="Q16">
        <f t="shared" si="0"/>
        <v>2038</v>
      </c>
      <c r="R16">
        <f t="shared" si="0"/>
        <v>2039</v>
      </c>
      <c r="S16">
        <f>R16+1</f>
        <v>2040</v>
      </c>
    </row>
    <row r="17" spans="1:146" x14ac:dyDescent="0.55000000000000004">
      <c r="A17" t="s">
        <v>28</v>
      </c>
      <c r="B17">
        <f>2023-B32</f>
        <v>0</v>
      </c>
      <c r="C17" s="20">
        <f>B17+1</f>
        <v>1</v>
      </c>
      <c r="D17" s="20">
        <f t="shared" si="0"/>
        <v>2</v>
      </c>
      <c r="E17" s="20">
        <f t="shared" si="0"/>
        <v>3</v>
      </c>
      <c r="F17" s="20">
        <f t="shared" si="0"/>
        <v>4</v>
      </c>
      <c r="G17" s="20">
        <f t="shared" si="0"/>
        <v>5</v>
      </c>
      <c r="H17" s="20">
        <f t="shared" si="0"/>
        <v>6</v>
      </c>
      <c r="I17" s="20">
        <f t="shared" si="0"/>
        <v>7</v>
      </c>
      <c r="J17" s="20">
        <f t="shared" si="0"/>
        <v>8</v>
      </c>
      <c r="K17" s="20">
        <f t="shared" si="0"/>
        <v>9</v>
      </c>
      <c r="L17" s="20">
        <f t="shared" si="0"/>
        <v>10</v>
      </c>
      <c r="M17" s="20">
        <f t="shared" si="0"/>
        <v>11</v>
      </c>
      <c r="N17" s="20">
        <f t="shared" si="0"/>
        <v>12</v>
      </c>
      <c r="O17" s="20">
        <f t="shared" si="0"/>
        <v>13</v>
      </c>
      <c r="P17" s="20">
        <f t="shared" ref="P17" si="1">O17+1</f>
        <v>14</v>
      </c>
      <c r="Q17" s="20">
        <f t="shared" si="0"/>
        <v>15</v>
      </c>
      <c r="R17" s="20">
        <f t="shared" si="0"/>
        <v>16</v>
      </c>
      <c r="S17" s="20">
        <f t="shared" ref="S17" si="2">R17+1</f>
        <v>17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</row>
    <row r="18" spans="1:146" x14ac:dyDescent="0.55000000000000004">
      <c r="A18" t="s">
        <v>46</v>
      </c>
      <c r="B18" s="13">
        <f>($C$31*$C$30*EXP($C$33*B$17)/($C$31+$C$30*(EXP($C$33*B$17)-1)))</f>
        <v>7</v>
      </c>
      <c r="C18" s="13">
        <f t="shared" ref="C18:S18" si="3">($C$31*$C$30*EXP($C$33*C$17)/($C$31+$C$30*(EXP($C$33*C$17)-1)))</f>
        <v>10.77690582281199</v>
      </c>
      <c r="D18" s="13">
        <f t="shared" si="3"/>
        <v>16.429145607683719</v>
      </c>
      <c r="E18" s="13">
        <f t="shared" si="3"/>
        <v>24.684002676677355</v>
      </c>
      <c r="F18" s="13">
        <f t="shared" si="3"/>
        <v>36.32016911014567</v>
      </c>
      <c r="G18" s="13">
        <f t="shared" si="3"/>
        <v>51.929072288046228</v>
      </c>
      <c r="H18" s="13">
        <f t="shared" si="3"/>
        <v>71.530224175410453</v>
      </c>
      <c r="I18" s="13">
        <f t="shared" si="3"/>
        <v>94.202900496547315</v>
      </c>
      <c r="J18" s="13">
        <f t="shared" si="3"/>
        <v>118.06453202637462</v>
      </c>
      <c r="K18" s="13">
        <f t="shared" si="3"/>
        <v>140.8063752949212</v>
      </c>
      <c r="L18" s="13">
        <f t="shared" si="3"/>
        <v>160.52188173313868</v>
      </c>
      <c r="M18" s="13">
        <f t="shared" si="3"/>
        <v>176.25817222120105</v>
      </c>
      <c r="N18" s="13">
        <f t="shared" si="3"/>
        <v>188.01032143305719</v>
      </c>
      <c r="O18" s="13">
        <f t="shared" si="3"/>
        <v>196.35836937892344</v>
      </c>
      <c r="P18" s="13">
        <f t="shared" si="3"/>
        <v>202.07965077431641</v>
      </c>
      <c r="Q18" s="13">
        <f t="shared" si="3"/>
        <v>205.90506442664295</v>
      </c>
      <c r="R18" s="13">
        <f t="shared" si="3"/>
        <v>208.42079631541023</v>
      </c>
      <c r="S18" s="13">
        <f t="shared" si="3"/>
        <v>210.05724531591517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</row>
    <row r="19" spans="1:146" x14ac:dyDescent="0.55000000000000004">
      <c r="A19" t="s">
        <v>45</v>
      </c>
      <c r="B19" s="13">
        <f>(B$31*B$30*EXP(B$33*B$17)/(B$31+B$30*(EXP(B$33*B$17)-1)))</f>
        <v>2.2000000000000002</v>
      </c>
      <c r="C19" s="13">
        <f>(B$31*B$30*EXP(B$33*C$17)/(B$31+B$30*(EXP(B$33*C$17)-1)))</f>
        <v>3.4147087637389353</v>
      </c>
      <c r="D19" s="13">
        <f>(B$31*B$30*EXP(B$33*D$17)/(B$31+B$30*(EXP(B$33*D$17)-1)))</f>
        <v>5.2701021244996564</v>
      </c>
      <c r="E19" s="13">
        <f>(B$31*B$30*EXP(B$33*E$17)/(B$31+B$30*(EXP(B$33*E$17)-1)))</f>
        <v>8.0638996348189966</v>
      </c>
      <c r="F19" s="13">
        <f>(B$31*B$30*EXP(B$33*F$17)/(B$31+B$30*(EXP(B$33*F$17)-1)))</f>
        <v>12.181499338810641</v>
      </c>
      <c r="G19" s="13">
        <f>(B$31*B$30*EXP(B$33*G$17)/(B$31+B$30*(EXP(B$33*G$17)-1)))</f>
        <v>18.062361963063857</v>
      </c>
      <c r="H19" s="13">
        <f>(B$31*B$30*EXP(B$33*H$17)/(B$31+B$30*(EXP(B$33*H$17)-1)))</f>
        <v>26.095183722708445</v>
      </c>
      <c r="I19" s="13">
        <f>(B$31*B$30*EXP(B$33*I$17)/(B$31+B$30*(EXP(B$33*I$17)-1)))</f>
        <v>36.423938828644097</v>
      </c>
      <c r="J19" s="13">
        <f>(B$31*B$30*EXP(B$33*J$17)/(B$31+B$30*(EXP(B$33*J$17)-1)))</f>
        <v>48.719862504970479</v>
      </c>
      <c r="K19" s="13">
        <f>(B$31*B$30*EXP(B$33*K$17)/(B$31+B$30*(EXP(B$33*K$17)-1)))</f>
        <v>62.083234942055135</v>
      </c>
      <c r="L19" s="13">
        <f>(B$31*B$30*EXP(B$33*L$17)/(B$31+B$30*(EXP(B$33*L$17)-1)))</f>
        <v>75.242833586543171</v>
      </c>
      <c r="M19" s="13">
        <f>(B$31*B$30*EXP(B$33*M$17)/(B$31+B$30*(EXP(B$33*M$17)-1)))</f>
        <v>87.001639601828629</v>
      </c>
      <c r="N19" s="13">
        <f>(B$31*B$30*EXP(B$33*N$17)/(B$31+B$30*(EXP(B$33*N$17)-1)))</f>
        <v>96.630620741237777</v>
      </c>
      <c r="O19" s="13">
        <f>(B$31*B$30*EXP(B$33*O$17)/(B$31+B$30*(EXP(B$33*O$17)-1)))</f>
        <v>103.9676201646554</v>
      </c>
      <c r="P19" s="13">
        <f>(B$31*B$30*EXP(B$33*P$17)/(B$31+B$30*(EXP(B$33*P$17)-1)))</f>
        <v>109.25720113646122</v>
      </c>
      <c r="Q19" s="13">
        <f>(B$31*B$30*EXP(B$33*Q$17)/(B$31+B$30*(EXP(B$33*Q$17)-1)))</f>
        <v>112.92042233322103</v>
      </c>
      <c r="R19" s="13">
        <f>(B$31*B$30*EXP(B$33*R$17)/(B$31+B$30*(EXP(B$33*R$17)-1)))</f>
        <v>115.38724749346785</v>
      </c>
      <c r="S19" s="13">
        <f>(B$31*B$30*EXP(B$33*S$17)/(B$31+B$30*(EXP(B$33*S$17)-1)))</f>
        <v>117.01723087028252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</row>
    <row r="20" spans="1:146" x14ac:dyDescent="0.55000000000000004">
      <c r="A20" t="s">
        <v>40</v>
      </c>
      <c r="B20" s="13">
        <f>(D$31*D$30*EXP(D$33*B$17)/(D$31+D$30*(EXP(D$33*B$17)-1)))</f>
        <v>1</v>
      </c>
      <c r="C20" s="13">
        <f>(D$31*D$30*EXP(D$33*C$17)/(D$31+D$30*(EXP(D$33*C$17)-1)))</f>
        <v>1.5506867025118676</v>
      </c>
      <c r="D20" s="13">
        <f>(D$31*D$30*EXP(D$33*D$17)/(D$31+D$30*(EXP(D$33*D$17)-1)))</f>
        <v>2.3898387885386581</v>
      </c>
      <c r="E20" s="13">
        <f>(D$31*D$30*EXP(D$33*E$17)/(D$31+D$30*(EXP(D$33*E$17)-1)))</f>
        <v>3.6488965286975366</v>
      </c>
      <c r="F20" s="13">
        <f>(D$31*D$30*EXP(D$33*F$17)/(D$31+D$30*(EXP(D$33*F$17)-1)))</f>
        <v>5.4947195332393033</v>
      </c>
      <c r="G20" s="13">
        <f>(D$31*D$30*EXP(D$33*G$17)/(D$31+D$30*(EXP(D$33*G$17)-1)))</f>
        <v>8.1108763236313699</v>
      </c>
      <c r="H20" s="13">
        <f>(D$31*D$30*EXP(D$33*H$17)/(D$31+D$30*(EXP(D$33*H$17)-1)))</f>
        <v>11.646676749488536</v>
      </c>
      <c r="I20" s="13">
        <f>(D$31*D$30*EXP(D$33*I$17)/(D$31+D$30*(EXP(D$33*I$17)-1)))</f>
        <v>16.130311149862244</v>
      </c>
      <c r="J20" s="13">
        <f>(D$31*D$30*EXP(D$33*J$17)/(D$31+D$30*(EXP(D$33*J$17)-1)))</f>
        <v>21.377914323547717</v>
      </c>
      <c r="K20" s="13">
        <f>(D$31*D$30*EXP(D$33*K$17)/(D$31+D$30*(EXP(D$33*K$17)-1)))</f>
        <v>26.973133869604453</v>
      </c>
      <c r="L20" s="13">
        <f>(D$31*D$30*EXP(D$33*L$17)/(D$31+D$30*(EXP(D$33*L$17)-1)))</f>
        <v>32.376272786814418</v>
      </c>
      <c r="M20" s="13">
        <f>(D$31*D$30*EXP(D$33*M$17)/(D$31+D$30*(EXP(D$33*M$17)-1)))</f>
        <v>37.117126516129623</v>
      </c>
      <c r="N20" s="13">
        <f>(D$31*D$30*EXP(D$33*N$17)/(D$31+D$30*(EXP(D$33*N$17)-1)))</f>
        <v>40.939564103575208</v>
      </c>
      <c r="O20" s="13">
        <f>(D$31*D$30*EXP(D$33*O$17)/(D$31+D$30*(EXP(D$33*O$17)-1)))</f>
        <v>43.816790968416512</v>
      </c>
      <c r="P20" s="13">
        <f>(D$31*D$30*EXP(D$33*P$17)/(D$31+D$30*(EXP(D$33*P$17)-1)))</f>
        <v>45.872446188566741</v>
      </c>
      <c r="Q20" s="13">
        <f>(D$31*D$30*EXP(D$33*Q$17)/(D$31+D$30*(EXP(D$33*Q$17)-1)))</f>
        <v>47.286998253417586</v>
      </c>
      <c r="R20" s="13">
        <f>(D$31*D$30*EXP(D$33*R$17)/(D$31+D$30*(EXP(D$33*R$17)-1)))</f>
        <v>48.235417953254149</v>
      </c>
      <c r="S20" s="13">
        <f>(D$31*D$30*EXP(D$33*S$17)/(D$31+D$30*(EXP(D$33*S$17)-1)))</f>
        <v>48.860277241951849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</row>
    <row r="21" spans="1:146" x14ac:dyDescent="0.55000000000000004">
      <c r="A21" t="s">
        <v>41</v>
      </c>
      <c r="B21" s="13">
        <f>(E$31*E$30*EXP(E$33*B$17)/(E$31+E$30*(EXP(E$33*B$17)-1)))</f>
        <v>1</v>
      </c>
      <c r="C21" s="13">
        <f>(E$31*E$30*EXP(E$33*C$17)/(E$31+E$30*(EXP(E$33*C$17)-1)))</f>
        <v>1.4521468268606337</v>
      </c>
      <c r="D21" s="13">
        <f>(E$31*E$30*EXP(E$33*D$17)/(E$31+E$30*(EXP(E$33*D$17)-1)))</f>
        <v>2.0836728007738623</v>
      </c>
      <c r="E21" s="13">
        <f>(E$31*E$30*EXP(E$33*E$17)/(E$31+E$30*(EXP(E$33*E$17)-1)))</f>
        <v>2.9410315322737617</v>
      </c>
      <c r="F21" s="13">
        <f>(E$31*E$30*EXP(E$33*F$17)/(E$31+E$30*(EXP(E$33*F$17)-1)))</f>
        <v>4.0611511847465698</v>
      </c>
      <c r="G21" s="13">
        <f>(E$31*E$30*EXP(E$33*G$17)/(E$31+E$30*(EXP(E$33*G$17)-1)))</f>
        <v>5.4533889807479383</v>
      </c>
      <c r="H21" s="13">
        <f>(E$31*E$30*EXP(E$33*H$17)/(E$31+E$30*(EXP(E$33*H$17)-1)))</f>
        <v>7.0804669733519345</v>
      </c>
      <c r="I21" s="13">
        <f>(E$31*E$30*EXP(E$33*I$17)/(E$31+E$30*(EXP(E$33*I$17)-1)))</f>
        <v>8.8505536896731112</v>
      </c>
      <c r="J21" s="13">
        <f>(E$31*E$30*EXP(E$33*J$17)/(E$31+E$30*(EXP(E$33*J$17)-1)))</f>
        <v>10.632281285350212</v>
      </c>
      <c r="K21" s="13">
        <f>(E$31*E$30*EXP(E$33*K$17)/(E$31+E$30*(EXP(E$33*K$17)-1)))</f>
        <v>12.290856719887845</v>
      </c>
      <c r="L21" s="13">
        <f>(E$31*E$30*EXP(E$33*L$17)/(E$31+E$30*(EXP(E$33*L$17)-1)))</f>
        <v>13.72614655744113</v>
      </c>
      <c r="M21" s="13">
        <f>(E$31*E$30*EXP(E$33*M$17)/(E$31+E$30*(EXP(E$33*M$17)-1)))</f>
        <v>14.891850685022098</v>
      </c>
      <c r="N21" s="13">
        <f>(E$31*E$30*EXP(E$33*N$17)/(E$31+E$30*(EXP(E$33*N$17)-1)))</f>
        <v>15.790779888750169</v>
      </c>
      <c r="O21" s="13">
        <f>(E$31*E$30*EXP(E$33*O$17)/(E$31+E$30*(EXP(E$33*O$17)-1)))</f>
        <v>16.456667473439456</v>
      </c>
      <c r="P21" s="13">
        <f>(E$31*E$30*EXP(E$33*P$17)/(E$31+E$30*(EXP(E$33*P$17)-1)))</f>
        <v>16.935379658604891</v>
      </c>
      <c r="Q21" s="13">
        <f>(E$31*E$30*EXP(E$33*Q$17)/(E$31+E$30*(EXP(E$33*Q$17)-1)))</f>
        <v>17.272171638250825</v>
      </c>
      <c r="R21" s="13">
        <f>(E$31*E$30*EXP(E$33*R$17)/(E$31+E$30*(EXP(E$33*R$17)-1)))</f>
        <v>17.505530494270118</v>
      </c>
      <c r="S21" s="13">
        <f>(E$31*E$30*EXP(E$33*S$17)/(E$31+E$30*(EXP(E$33*S$17)-1)))</f>
        <v>17.665517947319966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</row>
    <row r="22" spans="1:146" x14ac:dyDescent="0.55000000000000004">
      <c r="A22" t="s">
        <v>55</v>
      </c>
      <c r="B22" s="13">
        <f>(F$31*F$30*EXP(F$33*B$17)/(F$31+F$30*(EXP(F$33*B$17)-1)))</f>
        <v>1</v>
      </c>
      <c r="C22" s="13">
        <f>(F$31*F$30*EXP(F$33*C$17)/(F$31+F$30*(EXP(F$33*C$17)-1)))</f>
        <v>1.8009672428302486</v>
      </c>
      <c r="D22" s="13">
        <f>(F$31*F$30*EXP(F$33*D$17)/(F$31+F$30*(EXP(F$33*D$17)-1)))</f>
        <v>3.2136035515519481</v>
      </c>
      <c r="E22" s="13">
        <f>(F$31*F$30*EXP(F$33*E$17)/(F$31+F$30*(EXP(F$33*E$17)-1)))</f>
        <v>5.6426024214132351</v>
      </c>
      <c r="F22" s="13">
        <f>(F$31*F$30*EXP(F$33*F$17)/(F$31+F$30*(EXP(F$33*F$17)-1)))</f>
        <v>9.6424858590289002</v>
      </c>
      <c r="G22" s="13">
        <f>(F$31*F$30*EXP(F$33*G$17)/(F$31+F$30*(EXP(F$33*G$17)-1)))</f>
        <v>15.782444975725108</v>
      </c>
      <c r="H22" s="13">
        <f>(F$31*F$30*EXP(F$33*H$17)/(F$31+F$30*(EXP(F$33*H$17)-1)))</f>
        <v>24.260598906356378</v>
      </c>
      <c r="I22" s="13">
        <f>(F$31*F$30*EXP(F$33*I$17)/(F$31+F$30*(EXP(F$33*I$17)-1)))</f>
        <v>34.403194021487728</v>
      </c>
      <c r="J22" s="13">
        <f>(F$31*F$30*EXP(F$33*J$17)/(F$31+F$30*(EXP(F$33*J$17)-1)))</f>
        <v>44.647055720588</v>
      </c>
      <c r="K22" s="13">
        <f>(F$31*F$30*EXP(F$33*K$17)/(F$31+F$30*(EXP(F$33*K$17)-1)))</f>
        <v>53.368136065547567</v>
      </c>
      <c r="L22" s="13">
        <f>(F$31*F$30*EXP(F$33*L$17)/(F$31+F$30*(EXP(F$33*L$17)-1)))</f>
        <v>59.776237040314363</v>
      </c>
      <c r="M22" s="13">
        <f>(F$31*F$30*EXP(F$33*M$17)/(F$31+F$30*(EXP(F$33*M$17)-1)))</f>
        <v>63.993248480253584</v>
      </c>
      <c r="N22" s="13">
        <f>(F$31*F$30*EXP(F$33*N$17)/(F$31+F$30*(EXP(F$33*N$17)-1)))</f>
        <v>66.570651449752475</v>
      </c>
      <c r="O22" s="13">
        <f>(F$31*F$30*EXP(F$33*O$17)/(F$31+F$30*(EXP(F$33*O$17)-1)))</f>
        <v>68.075392017115036</v>
      </c>
      <c r="P22" s="13">
        <f>(F$31*F$30*EXP(F$33*P$17)/(F$31+F$30*(EXP(F$33*P$17)-1)))</f>
        <v>68.930485249700965</v>
      </c>
      <c r="Q22" s="13">
        <f>(F$31*F$30*EXP(F$33*Q$17)/(F$31+F$30*(EXP(F$33*Q$17)-1)))</f>
        <v>69.408963485592466</v>
      </c>
      <c r="R22" s="13">
        <f>(F$31*F$30*EXP(F$33*R$17)/(F$31+F$30*(EXP(F$33*R$17)-1)))</f>
        <v>69.674391861667402</v>
      </c>
      <c r="S22" s="13">
        <f>(F$31*F$30*EXP(F$33*S$17)/(F$31+F$30*(EXP(F$33*S$17)-1)))</f>
        <v>69.820926639513189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</row>
    <row r="23" spans="1:146" x14ac:dyDescent="0.55000000000000004">
      <c r="A23" t="s">
        <v>12</v>
      </c>
      <c r="B23" s="13">
        <f>B25/8760*1.95</f>
        <v>77.908031834973656</v>
      </c>
      <c r="C23" s="13">
        <f t="shared" ref="C23:S23" si="4">C25/8760*1.95</f>
        <v>77.910801683958837</v>
      </c>
      <c r="D23" s="13">
        <f t="shared" si="4"/>
        <v>77.217893279633159</v>
      </c>
      <c r="E23" s="13">
        <f t="shared" si="4"/>
        <v>75.543480715491285</v>
      </c>
      <c r="F23" s="13">
        <f t="shared" si="4"/>
        <v>72.55388513994528</v>
      </c>
      <c r="G23" s="13">
        <f t="shared" si="4"/>
        <v>67.93214071862154</v>
      </c>
      <c r="H23" s="13">
        <f t="shared" si="4"/>
        <v>61.503753417350126</v>
      </c>
      <c r="I23" s="13">
        <f t="shared" si="4"/>
        <v>53.39965733778071</v>
      </c>
      <c r="J23" s="13">
        <f t="shared" si="4"/>
        <v>44.165249115443238</v>
      </c>
      <c r="K23" s="13">
        <f t="shared" si="4"/>
        <v>34.69566360956663</v>
      </c>
      <c r="L23" s="13">
        <f t="shared" si="4"/>
        <v>25.970621910343564</v>
      </c>
      <c r="M23" s="13">
        <f t="shared" si="4"/>
        <v>18.731879682867294</v>
      </c>
      <c r="N23" s="13">
        <f t="shared" si="4"/>
        <v>13.304787939849572</v>
      </c>
      <c r="O23" s="13">
        <f t="shared" si="4"/>
        <v>9.6337447897291035</v>
      </c>
      <c r="P23" s="13">
        <f t="shared" si="4"/>
        <v>7.4400134258556418</v>
      </c>
      <c r="Q23" s="13">
        <f t="shared" si="4"/>
        <v>6.3778568175742638</v>
      </c>
      <c r="R23" s="13">
        <f t="shared" si="4"/>
        <v>6.1298408281122301</v>
      </c>
      <c r="S23" s="13">
        <f t="shared" si="4"/>
        <v>6.4437722122301118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</row>
    <row r="24" spans="1:146" x14ac:dyDescent="0.55000000000000004">
      <c r="A24" t="s">
        <v>63</v>
      </c>
      <c r="B24">
        <f>I13</f>
        <v>361735.36589999998</v>
      </c>
      <c r="C24">
        <f t="shared" ref="C24:S24" si="5">B24+($I$12-$I$13)/($N$16-$B$16)</f>
        <v>368014.67457499995</v>
      </c>
      <c r="D24">
        <f t="shared" si="5"/>
        <v>374293.98324999993</v>
      </c>
      <c r="E24">
        <f t="shared" si="5"/>
        <v>380573.29192499991</v>
      </c>
      <c r="F24">
        <f t="shared" si="5"/>
        <v>386852.60059999989</v>
      </c>
      <c r="G24">
        <f t="shared" si="5"/>
        <v>393131.90927499987</v>
      </c>
      <c r="H24">
        <f t="shared" si="5"/>
        <v>399411.21794999985</v>
      </c>
      <c r="I24">
        <f t="shared" si="5"/>
        <v>405690.52662499982</v>
      </c>
      <c r="J24">
        <f t="shared" si="5"/>
        <v>411969.8352999998</v>
      </c>
      <c r="K24">
        <f t="shared" si="5"/>
        <v>418249.14397499978</v>
      </c>
      <c r="L24">
        <f t="shared" si="5"/>
        <v>424528.45264999976</v>
      </c>
      <c r="M24">
        <f t="shared" si="5"/>
        <v>430807.76132499974</v>
      </c>
      <c r="N24">
        <f t="shared" si="5"/>
        <v>437087.06999999972</v>
      </c>
      <c r="O24">
        <f t="shared" si="5"/>
        <v>443366.37867499969</v>
      </c>
      <c r="P24">
        <f t="shared" si="5"/>
        <v>449645.68734999967</v>
      </c>
      <c r="Q24">
        <f t="shared" si="5"/>
        <v>455924.99602499965</v>
      </c>
      <c r="R24">
        <f t="shared" si="5"/>
        <v>462204.30469999963</v>
      </c>
      <c r="S24">
        <f t="shared" si="5"/>
        <v>468483.61337499961</v>
      </c>
    </row>
    <row r="25" spans="1:146" x14ac:dyDescent="0.55000000000000004">
      <c r="A25" t="s">
        <v>64</v>
      </c>
      <c r="B25">
        <f>B24-(B18*$B$36+B19*$C$36+B20*$D$36+B21*$E$36)</f>
        <v>349986.85070480476</v>
      </c>
      <c r="C25">
        <f t="shared" ref="C25:S25" si="6">C24-(C18*$B$36+C19*$C$36+C20*$D$36+C21*$E$36)</f>
        <v>349999.2937187074</v>
      </c>
      <c r="D25">
        <f t="shared" si="6"/>
        <v>346886.53596389049</v>
      </c>
      <c r="E25">
        <f t="shared" si="6"/>
        <v>339364.55952189933</v>
      </c>
      <c r="F25">
        <f t="shared" si="6"/>
        <v>325934.37632098491</v>
      </c>
      <c r="G25">
        <f t="shared" si="6"/>
        <v>305172.07830519218</v>
      </c>
      <c r="H25">
        <f t="shared" si="6"/>
        <v>276293.78458255751</v>
      </c>
      <c r="I25">
        <f t="shared" si="6"/>
        <v>239887.69142510719</v>
      </c>
      <c r="J25">
        <f t="shared" si="6"/>
        <v>198403.88833399117</v>
      </c>
      <c r="K25">
        <f t="shared" si="6"/>
        <v>155863.59652297624</v>
      </c>
      <c r="L25">
        <f t="shared" si="6"/>
        <v>116668.02458185109</v>
      </c>
      <c r="M25">
        <f t="shared" si="6"/>
        <v>84149.367190726916</v>
      </c>
      <c r="N25">
        <f t="shared" si="6"/>
        <v>59769.201206708851</v>
      </c>
      <c r="O25">
        <f t="shared" si="6"/>
        <v>43277.745824629208</v>
      </c>
      <c r="P25">
        <f t="shared" si="6"/>
        <v>33422.829543843807</v>
      </c>
      <c r="Q25">
        <f t="shared" si="6"/>
        <v>28651.295242025924</v>
      </c>
      <c r="R25">
        <f t="shared" si="6"/>
        <v>27537.131104750326</v>
      </c>
      <c r="S25">
        <f t="shared" si="6"/>
        <v>28947.407476479886</v>
      </c>
    </row>
    <row r="26" spans="1:146" x14ac:dyDescent="0.55000000000000004">
      <c r="A26" t="s">
        <v>58</v>
      </c>
      <c r="B26" s="27">
        <f>(B24-B25)/B24</f>
        <v>3.2478204518280457E-2</v>
      </c>
      <c r="C26" s="27">
        <f t="shared" ref="C26:S26" si="7">(C24-C25)/C24</f>
        <v>4.8952887210537283E-2</v>
      </c>
      <c r="D26" s="27">
        <f t="shared" si="7"/>
        <v>7.3224386478591474E-2</v>
      </c>
      <c r="E26" s="27">
        <f t="shared" si="7"/>
        <v>0.10828067359814006</v>
      </c>
      <c r="F26" s="27">
        <f t="shared" si="7"/>
        <v>0.15747140948395369</v>
      </c>
      <c r="G26" s="27">
        <f t="shared" si="7"/>
        <v>0.22374126570397235</v>
      </c>
      <c r="H26" s="27">
        <f t="shared" si="7"/>
        <v>0.30824730962577707</v>
      </c>
      <c r="I26" s="27">
        <f t="shared" si="7"/>
        <v>0.40869289351967675</v>
      </c>
      <c r="J26" s="27">
        <f t="shared" si="7"/>
        <v>0.51840190389300755</v>
      </c>
      <c r="K26" s="27">
        <f t="shared" si="7"/>
        <v>0.62734270047354179</v>
      </c>
      <c r="L26" s="27">
        <f t="shared" si="7"/>
        <v>0.7251820841369202</v>
      </c>
      <c r="M26" s="27">
        <f t="shared" si="7"/>
        <v>0.8046707261449616</v>
      </c>
      <c r="N26" s="27">
        <f t="shared" si="7"/>
        <v>0.86325561813871798</v>
      </c>
      <c r="O26" s="27">
        <f t="shared" si="7"/>
        <v>0.90238830027219308</v>
      </c>
      <c r="P26" s="27">
        <f t="shared" si="7"/>
        <v>0.92566851971644104</v>
      </c>
      <c r="Q26" s="27">
        <f t="shared" si="7"/>
        <v>0.93715787576504161</v>
      </c>
      <c r="R26" s="27">
        <f t="shared" si="7"/>
        <v>0.9404221665078959</v>
      </c>
      <c r="S26" s="27">
        <f t="shared" si="7"/>
        <v>0.93821041622365386</v>
      </c>
    </row>
    <row r="27" spans="1:146" x14ac:dyDescent="0.55000000000000004">
      <c r="A27" t="s">
        <v>59</v>
      </c>
      <c r="B27" s="27">
        <f>N26</f>
        <v>0.86325561813871798</v>
      </c>
    </row>
    <row r="28" spans="1:146" x14ac:dyDescent="0.55000000000000004">
      <c r="B28" s="27"/>
    </row>
    <row r="29" spans="1:146" x14ac:dyDescent="0.55000000000000004">
      <c r="A29" s="21" t="s">
        <v>37</v>
      </c>
      <c r="B29" s="23" t="s">
        <v>43</v>
      </c>
      <c r="C29" s="21" t="s">
        <v>44</v>
      </c>
      <c r="D29" s="24" t="s">
        <v>8</v>
      </c>
      <c r="E29" s="21" t="s">
        <v>11</v>
      </c>
      <c r="F29" s="21" t="s">
        <v>54</v>
      </c>
    </row>
    <row r="30" spans="1:146" x14ac:dyDescent="0.55000000000000004">
      <c r="A30" s="21" t="s">
        <v>38</v>
      </c>
      <c r="B30" s="23">
        <v>2.2000000000000002</v>
      </c>
      <c r="C30" s="21">
        <v>7</v>
      </c>
      <c r="D30" s="24">
        <v>1</v>
      </c>
      <c r="E30" s="21">
        <v>1</v>
      </c>
      <c r="F30" s="21">
        <v>1</v>
      </c>
      <c r="M30" s="22"/>
    </row>
    <row r="31" spans="1:146" x14ac:dyDescent="0.55000000000000004">
      <c r="A31" s="21" t="s">
        <v>39</v>
      </c>
      <c r="B31" s="23">
        <v>120</v>
      </c>
      <c r="C31" s="21">
        <f>E4-B31</f>
        <v>213</v>
      </c>
      <c r="D31" s="24">
        <f>E3</f>
        <v>50</v>
      </c>
      <c r="E31" s="21">
        <f>E5</f>
        <v>18</v>
      </c>
      <c r="F31" s="21">
        <f>E8/H8</f>
        <v>70</v>
      </c>
      <c r="L31" s="13"/>
      <c r="M31" s="13"/>
      <c r="N31" s="13"/>
      <c r="O31" s="13"/>
      <c r="P31" s="13"/>
    </row>
    <row r="32" spans="1:146" x14ac:dyDescent="0.55000000000000004">
      <c r="A32" s="21" t="s">
        <v>35</v>
      </c>
      <c r="B32" s="23">
        <v>2023</v>
      </c>
      <c r="C32" s="21">
        <f>B32</f>
        <v>2023</v>
      </c>
      <c r="D32" s="24">
        <v>2023</v>
      </c>
      <c r="E32" s="21">
        <v>2023</v>
      </c>
      <c r="F32" s="21">
        <v>2023</v>
      </c>
      <c r="K32" s="20"/>
      <c r="L32" s="13"/>
      <c r="M32" s="13"/>
      <c r="N32" s="13"/>
      <c r="O32" s="13"/>
      <c r="P32" s="13"/>
    </row>
    <row r="33" spans="1:16" x14ac:dyDescent="0.55000000000000004">
      <c r="A33" s="21" t="s">
        <v>34</v>
      </c>
      <c r="B33" s="23">
        <v>0.45</v>
      </c>
      <c r="C33" s="21">
        <v>0.45</v>
      </c>
      <c r="D33" s="24">
        <v>0.45</v>
      </c>
      <c r="E33" s="21">
        <v>0.4</v>
      </c>
      <c r="F33" s="21">
        <v>0.6</v>
      </c>
      <c r="K33" s="20"/>
      <c r="L33" s="13"/>
      <c r="M33" s="13"/>
      <c r="N33" s="13"/>
      <c r="O33" s="13"/>
      <c r="P33" s="13"/>
    </row>
    <row r="34" spans="1:16" x14ac:dyDescent="0.55000000000000004">
      <c r="A34" s="21" t="s">
        <v>42</v>
      </c>
      <c r="B34" s="25">
        <f>I19</f>
        <v>36.423938828644097</v>
      </c>
      <c r="C34" s="25">
        <f>I18</f>
        <v>94.202900496547315</v>
      </c>
      <c r="D34" s="25">
        <f>I20</f>
        <v>16.130311149862244</v>
      </c>
      <c r="E34" s="25">
        <f>I21</f>
        <v>8.8505536896731112</v>
      </c>
      <c r="F34" s="25">
        <f>I22</f>
        <v>34.403194021487728</v>
      </c>
      <c r="K34" s="20"/>
      <c r="L34" s="13"/>
      <c r="M34" s="13"/>
      <c r="N34" s="13"/>
      <c r="O34" s="13"/>
      <c r="P34" s="13"/>
    </row>
    <row r="35" spans="1:16" x14ac:dyDescent="0.55000000000000004">
      <c r="A35" s="21" t="s">
        <v>60</v>
      </c>
      <c r="B35" s="25">
        <f>S19</f>
        <v>117.01723087028252</v>
      </c>
      <c r="C35" s="25">
        <f>S18</f>
        <v>210.05724531591517</v>
      </c>
      <c r="D35" s="25">
        <f>S20</f>
        <v>48.860277241951849</v>
      </c>
      <c r="E35" s="25">
        <f>S21</f>
        <v>17.665517947319966</v>
      </c>
      <c r="F35" s="25">
        <f>S22</f>
        <v>69.820926639513189</v>
      </c>
      <c r="K35" s="20"/>
      <c r="L35" s="13"/>
      <c r="M35" s="13"/>
      <c r="N35" s="13"/>
      <c r="O35" s="13"/>
      <c r="P35" s="13"/>
    </row>
    <row r="36" spans="1:16" x14ac:dyDescent="0.55000000000000004">
      <c r="A36" s="21" t="s">
        <v>53</v>
      </c>
      <c r="B36" s="29">
        <f>G4/E4</f>
        <v>711.31831831831835</v>
      </c>
      <c r="C36" s="29">
        <f>B36</f>
        <v>711.31831831831835</v>
      </c>
      <c r="D36" s="29">
        <f>G3/E3</f>
        <v>3684.72</v>
      </c>
      <c r="E36" s="29">
        <f>G5/E5</f>
        <v>1519.6666666666667</v>
      </c>
      <c r="F36" s="21"/>
      <c r="K36" s="20"/>
      <c r="L36" s="13"/>
      <c r="M36" s="13"/>
      <c r="N36" s="13"/>
      <c r="O36" s="13"/>
      <c r="P36" s="13"/>
    </row>
    <row r="37" spans="1:16" x14ac:dyDescent="0.55000000000000004">
      <c r="K37" s="20"/>
      <c r="L37" s="13"/>
      <c r="M37" s="13"/>
      <c r="N37" s="13"/>
      <c r="O37" s="13"/>
      <c r="P37" s="13"/>
    </row>
    <row r="38" spans="1:16" x14ac:dyDescent="0.55000000000000004">
      <c r="K38" s="20"/>
      <c r="L38" s="13"/>
      <c r="M38" s="13"/>
      <c r="N38" s="13"/>
      <c r="O38" s="13"/>
      <c r="P38" s="13"/>
    </row>
    <row r="39" spans="1:16" x14ac:dyDescent="0.55000000000000004">
      <c r="K39" s="20"/>
      <c r="L39" s="13"/>
      <c r="M39" s="13"/>
      <c r="N39" s="13"/>
      <c r="O39" s="13"/>
      <c r="P39" s="13"/>
    </row>
    <row r="40" spans="1:16" x14ac:dyDescent="0.55000000000000004">
      <c r="K40" s="20"/>
      <c r="L40" s="13"/>
      <c r="M40" s="13"/>
      <c r="N40" s="13"/>
      <c r="O40" s="13"/>
      <c r="P40" s="13"/>
    </row>
    <row r="41" spans="1:16" x14ac:dyDescent="0.55000000000000004">
      <c r="K41" s="20"/>
      <c r="L41" s="13"/>
      <c r="M41" s="13"/>
      <c r="N41" s="13"/>
      <c r="O41" s="13"/>
      <c r="P41" s="13"/>
    </row>
    <row r="42" spans="1:16" x14ac:dyDescent="0.55000000000000004">
      <c r="K42" s="20"/>
      <c r="L42" s="13"/>
      <c r="M42" s="13"/>
      <c r="N42" s="13"/>
      <c r="O42" s="13"/>
      <c r="P42" s="13"/>
    </row>
    <row r="43" spans="1:16" x14ac:dyDescent="0.55000000000000004">
      <c r="K43" s="20"/>
      <c r="L43" s="13"/>
      <c r="M43" s="13"/>
      <c r="N43" s="13"/>
      <c r="O43" s="13"/>
      <c r="P43" s="13"/>
    </row>
    <row r="44" spans="1:16" x14ac:dyDescent="0.55000000000000004">
      <c r="K44" s="20"/>
      <c r="L44" s="13"/>
      <c r="M44" s="13"/>
      <c r="N44" s="13"/>
      <c r="O44" s="13"/>
      <c r="P44" s="13"/>
    </row>
    <row r="45" spans="1:16" x14ac:dyDescent="0.55000000000000004">
      <c r="K45" s="20"/>
      <c r="L45" s="13"/>
      <c r="M45" s="13"/>
      <c r="N45" s="13"/>
      <c r="O45" s="13"/>
      <c r="P45" s="13"/>
    </row>
    <row r="46" spans="1:16" x14ac:dyDescent="0.55000000000000004">
      <c r="K46" s="20"/>
      <c r="L46" s="13"/>
      <c r="M46" s="13"/>
      <c r="N46" s="13"/>
      <c r="O46" s="13"/>
      <c r="P46" s="13"/>
    </row>
    <row r="47" spans="1:16" x14ac:dyDescent="0.55000000000000004">
      <c r="K47" s="20"/>
      <c r="L47" s="13"/>
      <c r="M47" s="13"/>
      <c r="N47" s="13"/>
      <c r="O47" s="13"/>
      <c r="P47" s="13"/>
    </row>
    <row r="48" spans="1:16" x14ac:dyDescent="0.55000000000000004">
      <c r="K48" s="20"/>
      <c r="L48" s="13"/>
      <c r="M48" s="13"/>
      <c r="N48" s="13"/>
      <c r="O48" s="13"/>
      <c r="P48" s="13"/>
    </row>
    <row r="49" spans="11:16" x14ac:dyDescent="0.55000000000000004">
      <c r="K49" s="20"/>
      <c r="L49" s="13"/>
      <c r="M49" s="13"/>
      <c r="N49" s="13"/>
      <c r="O49" s="13"/>
      <c r="P49" s="13"/>
    </row>
    <row r="50" spans="11:16" x14ac:dyDescent="0.55000000000000004">
      <c r="K50" s="20"/>
      <c r="L50" s="13"/>
      <c r="M50" s="13"/>
      <c r="N50" s="13"/>
      <c r="O50" s="13"/>
      <c r="P50" s="13"/>
    </row>
    <row r="51" spans="11:16" x14ac:dyDescent="0.55000000000000004">
      <c r="K51" s="20"/>
      <c r="L51" s="13"/>
      <c r="M51" s="13"/>
      <c r="N51" s="13"/>
      <c r="O51" s="13"/>
      <c r="P51" s="13"/>
    </row>
    <row r="52" spans="11:16" x14ac:dyDescent="0.55000000000000004">
      <c r="K52" s="20"/>
      <c r="L52" s="13"/>
      <c r="M52" s="13"/>
      <c r="N52" s="13"/>
      <c r="O52" s="13"/>
      <c r="P52" s="13"/>
    </row>
    <row r="53" spans="11:16" x14ac:dyDescent="0.55000000000000004">
      <c r="K53" s="20"/>
      <c r="L53" s="13"/>
      <c r="M53" s="13"/>
      <c r="N53" s="13"/>
      <c r="O53" s="13"/>
      <c r="P53" s="13"/>
    </row>
    <row r="54" spans="11:16" x14ac:dyDescent="0.55000000000000004">
      <c r="K54" s="20"/>
      <c r="L54" s="13"/>
      <c r="M54" s="13"/>
      <c r="N54" s="13"/>
      <c r="O54" s="13"/>
      <c r="P54" s="13"/>
    </row>
    <row r="55" spans="11:16" x14ac:dyDescent="0.55000000000000004">
      <c r="K55" s="20"/>
      <c r="L55" s="13"/>
      <c r="M55" s="13"/>
      <c r="N55" s="13"/>
      <c r="O55" s="13"/>
      <c r="P55" s="13"/>
    </row>
    <row r="56" spans="11:16" x14ac:dyDescent="0.55000000000000004">
      <c r="K56" s="20"/>
      <c r="L56" s="13"/>
      <c r="M56" s="13"/>
      <c r="N56" s="13"/>
      <c r="O56" s="13"/>
      <c r="P56" s="13"/>
    </row>
    <row r="57" spans="11:16" x14ac:dyDescent="0.55000000000000004">
      <c r="K57" s="20"/>
      <c r="L57" s="13"/>
      <c r="M57" s="13"/>
      <c r="N57" s="13"/>
      <c r="O57" s="13"/>
      <c r="P57" s="13"/>
    </row>
    <row r="58" spans="11:16" x14ac:dyDescent="0.55000000000000004">
      <c r="K58" s="20"/>
      <c r="L58" s="13"/>
      <c r="M58" s="13"/>
      <c r="N58" s="13"/>
      <c r="O58" s="13"/>
      <c r="P58" s="13"/>
    </row>
    <row r="59" spans="11:16" x14ac:dyDescent="0.55000000000000004">
      <c r="K59" s="20"/>
      <c r="L59" s="13"/>
      <c r="M59" s="13"/>
      <c r="N59" s="13"/>
      <c r="O59" s="13"/>
      <c r="P59" s="13"/>
    </row>
    <row r="60" spans="11:16" x14ac:dyDescent="0.55000000000000004">
      <c r="K60" s="20"/>
      <c r="L60" s="13"/>
      <c r="M60" s="13"/>
      <c r="N60" s="13"/>
      <c r="O60" s="13"/>
      <c r="P60" s="13"/>
    </row>
    <row r="61" spans="11:16" x14ac:dyDescent="0.55000000000000004">
      <c r="K61" s="20"/>
      <c r="L61" s="13"/>
      <c r="M61" s="13"/>
      <c r="N61" s="13"/>
      <c r="O61" s="13"/>
      <c r="P61" s="13"/>
    </row>
    <row r="62" spans="11:16" x14ac:dyDescent="0.55000000000000004">
      <c r="K62" s="20"/>
      <c r="L62" s="13"/>
      <c r="M62" s="13"/>
      <c r="N62" s="13"/>
      <c r="O62" s="13"/>
      <c r="P62" s="13"/>
    </row>
    <row r="63" spans="11:16" x14ac:dyDescent="0.55000000000000004">
      <c r="K63" s="20"/>
      <c r="L63" s="13"/>
      <c r="M63" s="13"/>
      <c r="N63" s="13"/>
      <c r="O63" s="13"/>
      <c r="P63" s="13"/>
    </row>
    <row r="64" spans="11:16" x14ac:dyDescent="0.55000000000000004">
      <c r="K64" s="20"/>
      <c r="L64" s="13"/>
      <c r="M64" s="13"/>
      <c r="N64" s="13"/>
      <c r="O64" s="13"/>
      <c r="P64" s="13"/>
    </row>
    <row r="65" spans="11:16" x14ac:dyDescent="0.55000000000000004">
      <c r="K65" s="20"/>
      <c r="L65" s="13"/>
      <c r="M65" s="13"/>
      <c r="N65" s="13"/>
      <c r="O65" s="13"/>
      <c r="P65" s="13"/>
    </row>
    <row r="66" spans="11:16" x14ac:dyDescent="0.55000000000000004">
      <c r="K66" s="20"/>
      <c r="L66" s="13"/>
      <c r="M66" s="13"/>
      <c r="N66" s="13"/>
      <c r="O66" s="13"/>
      <c r="P66" s="13"/>
    </row>
    <row r="67" spans="11:16" x14ac:dyDescent="0.55000000000000004">
      <c r="K67" s="20"/>
      <c r="L67" s="13"/>
      <c r="M67" s="13"/>
      <c r="N67" s="13"/>
      <c r="O67" s="13"/>
      <c r="P67" s="13"/>
    </row>
    <row r="68" spans="11:16" x14ac:dyDescent="0.55000000000000004">
      <c r="K68" s="20"/>
      <c r="L68" s="13"/>
      <c r="M68" s="13"/>
      <c r="N68" s="13"/>
      <c r="O68" s="13"/>
      <c r="P68" s="13"/>
    </row>
    <row r="69" spans="11:16" x14ac:dyDescent="0.55000000000000004">
      <c r="K69" s="20"/>
      <c r="L69" s="13"/>
      <c r="M69" s="13"/>
      <c r="N69" s="13"/>
      <c r="O69" s="13"/>
      <c r="P69" s="13"/>
    </row>
    <row r="70" spans="11:16" x14ac:dyDescent="0.55000000000000004">
      <c r="K70" s="20"/>
      <c r="L70" s="13"/>
      <c r="M70" s="13"/>
      <c r="N70" s="13"/>
      <c r="O70" s="13"/>
      <c r="P70" s="13"/>
    </row>
    <row r="71" spans="11:16" x14ac:dyDescent="0.55000000000000004">
      <c r="K71" s="20"/>
      <c r="L71" s="13"/>
      <c r="M71" s="13"/>
      <c r="N71" s="13"/>
      <c r="O71" s="13"/>
      <c r="P71" s="13"/>
    </row>
    <row r="72" spans="11:16" x14ac:dyDescent="0.55000000000000004">
      <c r="K72" s="20"/>
      <c r="L72" s="13"/>
      <c r="M72" s="13"/>
      <c r="N72" s="13"/>
      <c r="O72" s="13"/>
      <c r="P72" s="13"/>
    </row>
    <row r="73" spans="11:16" x14ac:dyDescent="0.55000000000000004">
      <c r="K73" s="20"/>
      <c r="L73" s="13"/>
      <c r="M73" s="13"/>
      <c r="N73" s="13"/>
      <c r="O73" s="13"/>
      <c r="P73" s="13"/>
    </row>
    <row r="74" spans="11:16" x14ac:dyDescent="0.55000000000000004">
      <c r="K74" s="20"/>
      <c r="L74" s="13"/>
      <c r="M74" s="13"/>
      <c r="N74" s="13"/>
      <c r="O74" s="13"/>
      <c r="P74" s="13"/>
    </row>
    <row r="75" spans="11:16" x14ac:dyDescent="0.55000000000000004">
      <c r="K75" s="20"/>
      <c r="L75" s="13"/>
      <c r="M75" s="13"/>
      <c r="N75" s="13"/>
      <c r="O75" s="13"/>
      <c r="P75" s="13"/>
    </row>
    <row r="76" spans="11:16" x14ac:dyDescent="0.55000000000000004">
      <c r="K76" s="20"/>
      <c r="L76" s="13"/>
      <c r="M76" s="13"/>
      <c r="N76" s="13"/>
      <c r="O76" s="13"/>
      <c r="P76" s="13"/>
    </row>
    <row r="77" spans="11:16" x14ac:dyDescent="0.55000000000000004">
      <c r="K77" s="20"/>
      <c r="L77" s="13"/>
      <c r="M77" s="13"/>
      <c r="N77" s="13"/>
      <c r="O77" s="13"/>
      <c r="P77" s="13"/>
    </row>
    <row r="78" spans="11:16" x14ac:dyDescent="0.55000000000000004">
      <c r="K78" s="20"/>
      <c r="L78" s="13"/>
      <c r="M78" s="13"/>
      <c r="N78" s="13"/>
      <c r="O78" s="13"/>
      <c r="P78" s="13"/>
    </row>
    <row r="79" spans="11:16" x14ac:dyDescent="0.55000000000000004">
      <c r="K79" s="20"/>
      <c r="L79" s="13"/>
      <c r="M79" s="13"/>
      <c r="N79" s="13"/>
      <c r="O79" s="13"/>
      <c r="P79" s="13"/>
    </row>
    <row r="80" spans="11:16" x14ac:dyDescent="0.55000000000000004">
      <c r="K80" s="20"/>
      <c r="L80" s="13"/>
      <c r="M80" s="13"/>
      <c r="N80" s="13"/>
      <c r="O80" s="13"/>
      <c r="P80" s="13"/>
    </row>
    <row r="81" spans="11:16" x14ac:dyDescent="0.55000000000000004">
      <c r="K81" s="20"/>
      <c r="L81" s="13"/>
      <c r="M81" s="13"/>
      <c r="N81" s="13"/>
      <c r="O81" s="13"/>
      <c r="P81" s="13"/>
    </row>
    <row r="82" spans="11:16" x14ac:dyDescent="0.55000000000000004">
      <c r="K82" s="20"/>
      <c r="L82" s="13"/>
      <c r="M82" s="13"/>
      <c r="N82" s="13"/>
      <c r="O82" s="13"/>
      <c r="P82" s="13"/>
    </row>
    <row r="83" spans="11:16" x14ac:dyDescent="0.55000000000000004">
      <c r="K83" s="20"/>
      <c r="L83" s="13"/>
      <c r="M83" s="13"/>
      <c r="N83" s="13"/>
      <c r="O83" s="13"/>
      <c r="P83" s="13"/>
    </row>
    <row r="84" spans="11:16" x14ac:dyDescent="0.55000000000000004">
      <c r="K84" s="20"/>
      <c r="L84" s="13"/>
      <c r="M84" s="13"/>
      <c r="N84" s="13"/>
      <c r="O84" s="13"/>
      <c r="P84" s="13"/>
    </row>
    <row r="85" spans="11:16" x14ac:dyDescent="0.55000000000000004">
      <c r="K85" s="20"/>
      <c r="L85" s="13"/>
      <c r="M85" s="13"/>
      <c r="N85" s="13"/>
      <c r="O85" s="13"/>
      <c r="P85" s="13"/>
    </row>
    <row r="86" spans="11:16" x14ac:dyDescent="0.55000000000000004">
      <c r="K86" s="20"/>
      <c r="L86" s="13"/>
      <c r="M86" s="13"/>
      <c r="N86" s="13"/>
      <c r="O86" s="13"/>
      <c r="P86" s="13"/>
    </row>
    <row r="87" spans="11:16" x14ac:dyDescent="0.55000000000000004">
      <c r="K87" s="20"/>
      <c r="L87" s="13"/>
      <c r="M87" s="13"/>
      <c r="N87" s="13"/>
      <c r="O87" s="13"/>
      <c r="P87" s="13"/>
    </row>
    <row r="88" spans="11:16" x14ac:dyDescent="0.55000000000000004">
      <c r="K88" s="20"/>
      <c r="L88" s="13"/>
      <c r="M88" s="13"/>
      <c r="N88" s="13"/>
      <c r="O88" s="13"/>
      <c r="P88" s="13"/>
    </row>
    <row r="89" spans="11:16" x14ac:dyDescent="0.55000000000000004">
      <c r="K89" s="20"/>
      <c r="L89" s="13"/>
      <c r="M89" s="13"/>
      <c r="N89" s="13"/>
      <c r="O89" s="13"/>
      <c r="P89" s="13"/>
    </row>
    <row r="90" spans="11:16" x14ac:dyDescent="0.55000000000000004">
      <c r="K90" s="20"/>
      <c r="L90" s="13"/>
      <c r="M90" s="13"/>
      <c r="N90" s="13"/>
      <c r="O90" s="13"/>
      <c r="P90" s="13"/>
    </row>
    <row r="91" spans="11:16" x14ac:dyDescent="0.55000000000000004">
      <c r="K91" s="20"/>
      <c r="L91" s="13"/>
      <c r="M91" s="13"/>
      <c r="N91" s="13"/>
      <c r="O91" s="13"/>
      <c r="P91" s="13"/>
    </row>
    <row r="92" spans="11:16" x14ac:dyDescent="0.55000000000000004">
      <c r="K92" s="20"/>
      <c r="L92" s="13"/>
      <c r="M92" s="13"/>
      <c r="N92" s="13"/>
      <c r="O92" s="13"/>
      <c r="P92" s="13"/>
    </row>
    <row r="93" spans="11:16" x14ac:dyDescent="0.55000000000000004">
      <c r="K93" s="20"/>
      <c r="L93" s="13"/>
      <c r="M93" s="13"/>
      <c r="N93" s="13"/>
      <c r="O93" s="13"/>
      <c r="P93" s="13"/>
    </row>
    <row r="94" spans="11:16" x14ac:dyDescent="0.55000000000000004">
      <c r="K94" s="20"/>
      <c r="L94" s="13"/>
      <c r="M94" s="13"/>
      <c r="N94" s="13"/>
      <c r="O94" s="13"/>
      <c r="P94" s="13"/>
    </row>
    <row r="95" spans="11:16" x14ac:dyDescent="0.55000000000000004">
      <c r="K95" s="20"/>
      <c r="L95" s="13"/>
      <c r="M95" s="13"/>
      <c r="N95" s="13"/>
      <c r="O95" s="13"/>
      <c r="P95" s="13"/>
    </row>
    <row r="96" spans="11:16" x14ac:dyDescent="0.55000000000000004">
      <c r="K96" s="20"/>
      <c r="L96" s="13"/>
      <c r="M96" s="13"/>
      <c r="N96" s="13"/>
      <c r="O96" s="13"/>
      <c r="P96" s="13"/>
    </row>
    <row r="97" spans="11:16" x14ac:dyDescent="0.55000000000000004">
      <c r="K97" s="20"/>
      <c r="L97" s="13"/>
      <c r="M97" s="13"/>
      <c r="N97" s="13"/>
      <c r="O97" s="13"/>
      <c r="P97" s="13"/>
    </row>
    <row r="98" spans="11:16" x14ac:dyDescent="0.55000000000000004">
      <c r="K98" s="20"/>
      <c r="L98" s="13"/>
      <c r="M98" s="13"/>
      <c r="N98" s="13"/>
      <c r="O98" s="13"/>
      <c r="P98" s="13"/>
    </row>
    <row r="99" spans="11:16" x14ac:dyDescent="0.55000000000000004">
      <c r="K99" s="20"/>
      <c r="L99" s="13"/>
      <c r="M99" s="13"/>
      <c r="N99" s="13"/>
      <c r="O99" s="13"/>
      <c r="P99" s="13"/>
    </row>
    <row r="100" spans="11:16" x14ac:dyDescent="0.55000000000000004">
      <c r="K100" s="20"/>
      <c r="L100" s="13"/>
      <c r="M100" s="13"/>
      <c r="N100" s="13"/>
      <c r="O100" s="13"/>
      <c r="P100" s="13"/>
    </row>
    <row r="101" spans="11:16" x14ac:dyDescent="0.55000000000000004">
      <c r="K101" s="20"/>
      <c r="L101" s="13"/>
      <c r="M101" s="13"/>
      <c r="N101" s="13"/>
      <c r="O101" s="13"/>
      <c r="P101" s="13"/>
    </row>
    <row r="102" spans="11:16" x14ac:dyDescent="0.55000000000000004">
      <c r="K102" s="20"/>
      <c r="L102" s="13"/>
      <c r="M102" s="13"/>
      <c r="N102" s="13"/>
      <c r="O102" s="13"/>
      <c r="P102" s="13"/>
    </row>
    <row r="103" spans="11:16" x14ac:dyDescent="0.55000000000000004">
      <c r="K103" s="20"/>
      <c r="L103" s="13"/>
      <c r="M103" s="13"/>
      <c r="N103" s="13"/>
      <c r="O103" s="13"/>
      <c r="P103" s="13"/>
    </row>
    <row r="104" spans="11:16" x14ac:dyDescent="0.55000000000000004">
      <c r="K104" s="20"/>
      <c r="L104" s="13"/>
      <c r="M104" s="13"/>
      <c r="N104" s="13"/>
      <c r="O104" s="13"/>
      <c r="P104" s="13"/>
    </row>
    <row r="105" spans="11:16" x14ac:dyDescent="0.55000000000000004">
      <c r="K105" s="20"/>
      <c r="L105" s="13"/>
      <c r="M105" s="13"/>
      <c r="N105" s="13"/>
      <c r="O105" s="13"/>
      <c r="P105" s="13"/>
    </row>
    <row r="106" spans="11:16" x14ac:dyDescent="0.55000000000000004">
      <c r="K106" s="20"/>
      <c r="L106" s="13"/>
      <c r="M106" s="13"/>
      <c r="N106" s="13"/>
      <c r="O106" s="13"/>
      <c r="P106" s="13"/>
    </row>
    <row r="107" spans="11:16" x14ac:dyDescent="0.55000000000000004">
      <c r="K107" s="20"/>
      <c r="L107" s="13"/>
      <c r="M107" s="13"/>
      <c r="N107" s="13"/>
      <c r="O107" s="13"/>
      <c r="P107" s="13"/>
    </row>
    <row r="108" spans="11:16" x14ac:dyDescent="0.55000000000000004">
      <c r="K108" s="20"/>
      <c r="L108" s="13"/>
      <c r="M108" s="13"/>
      <c r="N108" s="13"/>
      <c r="O108" s="13"/>
      <c r="P108" s="13"/>
    </row>
    <row r="109" spans="11:16" x14ac:dyDescent="0.55000000000000004">
      <c r="K109" s="20"/>
      <c r="L109" s="13"/>
      <c r="M109" s="13"/>
      <c r="N109" s="13"/>
      <c r="O109" s="13"/>
      <c r="P109" s="13"/>
    </row>
    <row r="110" spans="11:16" x14ac:dyDescent="0.55000000000000004">
      <c r="K110" s="20"/>
      <c r="L110" s="13"/>
      <c r="M110" s="13"/>
      <c r="N110" s="13"/>
      <c r="O110" s="13"/>
      <c r="P110" s="13"/>
    </row>
    <row r="111" spans="11:16" x14ac:dyDescent="0.55000000000000004">
      <c r="K111" s="20"/>
      <c r="L111" s="13"/>
      <c r="M111" s="13"/>
      <c r="N111" s="13"/>
      <c r="O111" s="13"/>
      <c r="P111" s="13"/>
    </row>
    <row r="112" spans="11:16" x14ac:dyDescent="0.55000000000000004">
      <c r="K112" s="20"/>
      <c r="L112" s="13"/>
      <c r="M112" s="13"/>
      <c r="N112" s="13"/>
      <c r="O112" s="13"/>
      <c r="P112" s="13"/>
    </row>
    <row r="113" spans="11:16" x14ac:dyDescent="0.55000000000000004">
      <c r="K113" s="20"/>
      <c r="L113" s="13"/>
      <c r="M113" s="13"/>
      <c r="N113" s="13"/>
      <c r="O113" s="13"/>
      <c r="P113" s="13"/>
    </row>
    <row r="114" spans="11:16" x14ac:dyDescent="0.55000000000000004">
      <c r="K114" s="20"/>
      <c r="L114" s="13"/>
      <c r="M114" s="13"/>
      <c r="N114" s="13"/>
      <c r="O114" s="13"/>
      <c r="P114" s="13"/>
    </row>
    <row r="115" spans="11:16" x14ac:dyDescent="0.55000000000000004">
      <c r="K115" s="20"/>
      <c r="L115" s="13"/>
      <c r="M115" s="13"/>
      <c r="N115" s="13"/>
      <c r="O115" s="13"/>
      <c r="P115" s="13"/>
    </row>
    <row r="116" spans="11:16" x14ac:dyDescent="0.55000000000000004">
      <c r="K116" s="20"/>
      <c r="L116" s="13"/>
      <c r="M116" s="13"/>
      <c r="N116" s="13"/>
      <c r="O116" s="13"/>
      <c r="P116" s="13"/>
    </row>
    <row r="117" spans="11:16" x14ac:dyDescent="0.55000000000000004">
      <c r="K117" s="20"/>
      <c r="L117" s="13"/>
      <c r="M117" s="13"/>
      <c r="N117" s="13"/>
      <c r="O117" s="13"/>
      <c r="P117" s="13"/>
    </row>
    <row r="118" spans="11:16" x14ac:dyDescent="0.55000000000000004">
      <c r="K118" s="20"/>
      <c r="L118" s="13"/>
      <c r="M118" s="13"/>
      <c r="N118" s="13"/>
      <c r="O118" s="13"/>
      <c r="P118" s="13"/>
    </row>
    <row r="119" spans="11:16" x14ac:dyDescent="0.55000000000000004">
      <c r="K119" s="20"/>
      <c r="L119" s="13"/>
      <c r="M119" s="13"/>
      <c r="N119" s="13"/>
      <c r="O119" s="13"/>
      <c r="P119" s="13"/>
    </row>
    <row r="120" spans="11:16" x14ac:dyDescent="0.55000000000000004">
      <c r="K120" s="20"/>
      <c r="L120" s="13"/>
      <c r="M120" s="13"/>
      <c r="N120" s="13"/>
      <c r="O120" s="13"/>
      <c r="P120" s="13"/>
    </row>
    <row r="121" spans="11:16" x14ac:dyDescent="0.55000000000000004">
      <c r="K121" s="20"/>
      <c r="L121" s="13"/>
      <c r="M121" s="13"/>
      <c r="N121" s="13"/>
      <c r="O121" s="13"/>
      <c r="P121" s="13"/>
    </row>
    <row r="122" spans="11:16" x14ac:dyDescent="0.55000000000000004">
      <c r="K122" s="20"/>
      <c r="L122" s="13"/>
      <c r="M122" s="13"/>
      <c r="N122" s="13"/>
      <c r="O122" s="13"/>
      <c r="P122" s="13"/>
    </row>
    <row r="123" spans="11:16" x14ac:dyDescent="0.55000000000000004">
      <c r="K123" s="20"/>
      <c r="L123" s="13"/>
      <c r="M123" s="13"/>
      <c r="N123" s="13"/>
      <c r="O123" s="13"/>
      <c r="P123" s="13"/>
    </row>
    <row r="124" spans="11:16" x14ac:dyDescent="0.55000000000000004">
      <c r="K124" s="20"/>
      <c r="L124" s="13"/>
      <c r="M124" s="13"/>
      <c r="N124" s="13"/>
      <c r="O124" s="13"/>
      <c r="P124" s="13"/>
    </row>
    <row r="125" spans="11:16" x14ac:dyDescent="0.55000000000000004">
      <c r="K125" s="20"/>
      <c r="L125" s="13"/>
      <c r="M125" s="13"/>
      <c r="N125" s="13"/>
      <c r="O125" s="13"/>
      <c r="P125" s="13"/>
    </row>
    <row r="126" spans="11:16" x14ac:dyDescent="0.55000000000000004">
      <c r="K126" s="20"/>
      <c r="L126" s="13"/>
      <c r="M126" s="13"/>
      <c r="N126" s="13"/>
      <c r="O126" s="13"/>
      <c r="P126" s="13"/>
    </row>
    <row r="127" spans="11:16" x14ac:dyDescent="0.55000000000000004">
      <c r="K127" s="20"/>
      <c r="L127" s="13"/>
      <c r="M127" s="13"/>
      <c r="N127" s="13"/>
      <c r="O127" s="13"/>
      <c r="P127" s="13"/>
    </row>
    <row r="128" spans="11:16" x14ac:dyDescent="0.55000000000000004">
      <c r="K128" s="20"/>
      <c r="L128" s="13"/>
      <c r="M128" s="13"/>
      <c r="N128" s="13"/>
      <c r="O128" s="13"/>
      <c r="P128" s="13"/>
    </row>
    <row r="129" spans="11:16" x14ac:dyDescent="0.55000000000000004">
      <c r="K129" s="20"/>
      <c r="L129" s="13"/>
      <c r="M129" s="13"/>
      <c r="N129" s="13"/>
      <c r="O129" s="13"/>
      <c r="P129" s="13"/>
    </row>
    <row r="130" spans="11:16" x14ac:dyDescent="0.55000000000000004">
      <c r="K130" s="20"/>
      <c r="L130" s="13"/>
      <c r="M130" s="13"/>
      <c r="N130" s="13"/>
      <c r="O130" s="13"/>
      <c r="P130" s="13"/>
    </row>
    <row r="131" spans="11:16" x14ac:dyDescent="0.55000000000000004">
      <c r="K131" s="20"/>
      <c r="L131" s="13"/>
      <c r="M131" s="13"/>
      <c r="N131" s="13"/>
      <c r="O131" s="13"/>
      <c r="P131" s="13"/>
    </row>
    <row r="132" spans="11:16" x14ac:dyDescent="0.55000000000000004">
      <c r="K132" s="20"/>
      <c r="L132" s="13"/>
      <c r="M132" s="13"/>
      <c r="N132" s="13"/>
      <c r="O132" s="13"/>
      <c r="P132" s="13"/>
    </row>
    <row r="133" spans="11:16" x14ac:dyDescent="0.55000000000000004">
      <c r="K133" s="20"/>
      <c r="L133" s="13"/>
      <c r="M133" s="13"/>
      <c r="N133" s="13"/>
      <c r="O133" s="13"/>
      <c r="P133" s="13"/>
    </row>
    <row r="134" spans="11:16" x14ac:dyDescent="0.55000000000000004">
      <c r="K134" s="20"/>
      <c r="L134" s="13"/>
      <c r="M134" s="13"/>
      <c r="N134" s="13"/>
      <c r="O134" s="13"/>
      <c r="P134" s="13"/>
    </row>
    <row r="135" spans="11:16" x14ac:dyDescent="0.55000000000000004">
      <c r="K135" s="20"/>
      <c r="L135" s="13"/>
      <c r="M135" s="13"/>
      <c r="N135" s="13"/>
      <c r="O135" s="13"/>
      <c r="P135" s="13"/>
    </row>
    <row r="136" spans="11:16" x14ac:dyDescent="0.55000000000000004">
      <c r="K136" s="20"/>
      <c r="L136" s="13"/>
      <c r="M136" s="13"/>
      <c r="N136" s="13"/>
      <c r="O136" s="13"/>
      <c r="P136" s="13"/>
    </row>
    <row r="137" spans="11:16" x14ac:dyDescent="0.55000000000000004">
      <c r="K137" s="20"/>
      <c r="L137" s="13"/>
      <c r="M137" s="13"/>
      <c r="N137" s="13"/>
      <c r="O137" s="13"/>
      <c r="P137" s="13"/>
    </row>
    <row r="138" spans="11:16" x14ac:dyDescent="0.55000000000000004">
      <c r="K138" s="20"/>
      <c r="L138" s="13"/>
      <c r="M138" s="13"/>
      <c r="N138" s="13"/>
      <c r="O138" s="13"/>
      <c r="P138" s="13"/>
    </row>
    <row r="139" spans="11:16" x14ac:dyDescent="0.55000000000000004">
      <c r="K139" s="20"/>
      <c r="L139" s="13"/>
      <c r="M139" s="13"/>
      <c r="N139" s="13"/>
      <c r="O139" s="13"/>
      <c r="P139" s="13"/>
    </row>
    <row r="140" spans="11:16" x14ac:dyDescent="0.55000000000000004">
      <c r="K140" s="20"/>
      <c r="L140" s="13"/>
      <c r="M140" s="13"/>
      <c r="N140" s="13"/>
      <c r="O140" s="13"/>
      <c r="P140" s="13"/>
    </row>
    <row r="141" spans="11:16" x14ac:dyDescent="0.55000000000000004">
      <c r="K141" s="20"/>
      <c r="L141" s="13"/>
      <c r="M141" s="13"/>
      <c r="N141" s="13"/>
      <c r="O141" s="13"/>
      <c r="P141" s="13"/>
    </row>
    <row r="142" spans="11:16" x14ac:dyDescent="0.55000000000000004">
      <c r="K142" s="20"/>
      <c r="L142" s="13"/>
      <c r="M142" s="13"/>
      <c r="N142" s="13"/>
      <c r="O142" s="13"/>
      <c r="P142" s="13"/>
    </row>
    <row r="143" spans="11:16" x14ac:dyDescent="0.55000000000000004">
      <c r="K143" s="20"/>
      <c r="L143" s="13"/>
      <c r="M143" s="13"/>
      <c r="N143" s="13"/>
      <c r="O143" s="13"/>
      <c r="P143" s="13"/>
    </row>
    <row r="144" spans="11:16" x14ac:dyDescent="0.55000000000000004">
      <c r="K144" s="20"/>
      <c r="L144" s="13"/>
      <c r="M144" s="13"/>
      <c r="N144" s="13"/>
      <c r="O144" s="13"/>
      <c r="P144" s="13"/>
    </row>
    <row r="145" spans="11:16" x14ac:dyDescent="0.55000000000000004">
      <c r="K145" s="20"/>
      <c r="L145" s="13"/>
      <c r="M145" s="13"/>
      <c r="N145" s="13"/>
      <c r="O145" s="13"/>
      <c r="P145" s="13"/>
    </row>
    <row r="146" spans="11:16" x14ac:dyDescent="0.55000000000000004">
      <c r="K146" s="20"/>
      <c r="L146" s="13"/>
      <c r="M146" s="13"/>
      <c r="N146" s="13"/>
      <c r="O146" s="13"/>
      <c r="P146" s="13"/>
    </row>
    <row r="147" spans="11:16" x14ac:dyDescent="0.55000000000000004">
      <c r="K147" s="20"/>
      <c r="L147" s="13"/>
      <c r="M147" s="13"/>
      <c r="N147" s="13"/>
      <c r="O147" s="13"/>
      <c r="P147" s="13"/>
    </row>
    <row r="148" spans="11:16" x14ac:dyDescent="0.55000000000000004">
      <c r="K148" s="20"/>
      <c r="L148" s="13"/>
      <c r="M148" s="13"/>
      <c r="N148" s="13"/>
      <c r="O148" s="13"/>
      <c r="P148" s="13"/>
    </row>
    <row r="149" spans="11:16" x14ac:dyDescent="0.55000000000000004">
      <c r="K149" s="20"/>
      <c r="L149" s="13"/>
      <c r="M149" s="13"/>
      <c r="N149" s="13"/>
      <c r="O149" s="13"/>
      <c r="P149" s="13"/>
    </row>
    <row r="150" spans="11:16" x14ac:dyDescent="0.55000000000000004">
      <c r="K150" s="20"/>
      <c r="L150" s="13"/>
      <c r="M150" s="13"/>
      <c r="N150" s="13"/>
      <c r="O150" s="13"/>
      <c r="P150" s="13"/>
    </row>
    <row r="151" spans="11:16" x14ac:dyDescent="0.55000000000000004">
      <c r="K151" s="20"/>
      <c r="L151" s="13"/>
      <c r="M151" s="13"/>
      <c r="N151" s="13"/>
      <c r="O151" s="13"/>
      <c r="P151" s="13"/>
    </row>
    <row r="152" spans="11:16" x14ac:dyDescent="0.55000000000000004">
      <c r="K152" s="20"/>
      <c r="L152" s="13"/>
      <c r="M152" s="13"/>
      <c r="N152" s="13"/>
      <c r="O152" s="13"/>
      <c r="P152" s="13"/>
    </row>
    <row r="153" spans="11:16" x14ac:dyDescent="0.55000000000000004">
      <c r="K153" s="20"/>
      <c r="L153" s="13"/>
      <c r="M153" s="13"/>
      <c r="N153" s="13"/>
      <c r="O153" s="13"/>
      <c r="P153" s="13"/>
    </row>
    <row r="154" spans="11:16" x14ac:dyDescent="0.55000000000000004">
      <c r="K154" s="20"/>
      <c r="L154" s="13"/>
      <c r="M154" s="13"/>
      <c r="N154" s="13"/>
      <c r="O154" s="13"/>
      <c r="P154" s="13"/>
    </row>
    <row r="155" spans="11:16" x14ac:dyDescent="0.55000000000000004">
      <c r="K155" s="20"/>
      <c r="L155" s="13"/>
      <c r="M155" s="13"/>
      <c r="N155" s="13"/>
      <c r="O155" s="13"/>
      <c r="P155" s="13"/>
    </row>
    <row r="156" spans="11:16" x14ac:dyDescent="0.55000000000000004">
      <c r="K156" s="20"/>
      <c r="L156" s="13"/>
      <c r="M156" s="13"/>
      <c r="N156" s="13"/>
      <c r="O156" s="13"/>
      <c r="P156" s="13"/>
    </row>
    <row r="157" spans="11:16" x14ac:dyDescent="0.55000000000000004">
      <c r="K157" s="20"/>
      <c r="L157" s="13"/>
      <c r="M157" s="13"/>
      <c r="N157" s="13"/>
      <c r="O157" s="13"/>
      <c r="P157" s="13"/>
    </row>
    <row r="158" spans="11:16" x14ac:dyDescent="0.55000000000000004">
      <c r="K158" s="20"/>
      <c r="L158" s="13"/>
      <c r="M158" s="13"/>
      <c r="N158" s="13"/>
      <c r="O158" s="13"/>
      <c r="P158" s="13"/>
    </row>
    <row r="159" spans="11:16" x14ac:dyDescent="0.55000000000000004">
      <c r="K159" s="20"/>
      <c r="L159" s="13"/>
      <c r="M159" s="13"/>
      <c r="N159" s="13"/>
      <c r="O159" s="13"/>
      <c r="P159" s="13"/>
    </row>
    <row r="160" spans="11:16" x14ac:dyDescent="0.55000000000000004">
      <c r="K160" s="20"/>
      <c r="L160" s="13"/>
      <c r="M160" s="13"/>
      <c r="N160" s="13"/>
      <c r="O160" s="13"/>
      <c r="P160" s="13"/>
    </row>
    <row r="161" spans="11:16" x14ac:dyDescent="0.55000000000000004">
      <c r="K161" s="20"/>
      <c r="L161" s="13"/>
      <c r="M161" s="13"/>
      <c r="N161" s="13"/>
      <c r="O161" s="13"/>
      <c r="P161" s="13"/>
    </row>
    <row r="162" spans="11:16" x14ac:dyDescent="0.55000000000000004">
      <c r="K162" s="20"/>
      <c r="L162" s="13"/>
      <c r="M162" s="13"/>
      <c r="N162" s="13"/>
      <c r="O162" s="13"/>
      <c r="P162" s="13"/>
    </row>
    <row r="163" spans="11:16" x14ac:dyDescent="0.55000000000000004">
      <c r="K163" s="20"/>
      <c r="L163" s="13"/>
      <c r="M163" s="13"/>
      <c r="N163" s="13"/>
      <c r="O163" s="13"/>
      <c r="P163" s="13"/>
    </row>
    <row r="164" spans="11:16" x14ac:dyDescent="0.55000000000000004">
      <c r="K164" s="20"/>
      <c r="L164" s="13"/>
      <c r="M164" s="13"/>
      <c r="N164" s="13"/>
      <c r="O164" s="13"/>
      <c r="P164" s="13"/>
    </row>
    <row r="165" spans="11:16" x14ac:dyDescent="0.55000000000000004">
      <c r="K165" s="20"/>
      <c r="L165" s="13"/>
      <c r="M165" s="13"/>
      <c r="N165" s="13"/>
      <c r="O165" s="13"/>
      <c r="P165" s="13"/>
    </row>
    <row r="166" spans="11:16" x14ac:dyDescent="0.55000000000000004">
      <c r="K166" s="20"/>
      <c r="L166" s="13"/>
      <c r="M166" s="13"/>
      <c r="N166" s="13"/>
      <c r="O166" s="13"/>
      <c r="P166" s="13"/>
    </row>
    <row r="167" spans="11:16" x14ac:dyDescent="0.55000000000000004">
      <c r="K167" s="20"/>
      <c r="L167" s="13"/>
      <c r="M167" s="13"/>
      <c r="N167" s="13"/>
      <c r="O167" s="13"/>
      <c r="P167" s="13"/>
    </row>
    <row r="168" spans="11:16" x14ac:dyDescent="0.55000000000000004">
      <c r="K168" s="20"/>
      <c r="L168" s="13"/>
      <c r="M168" s="13"/>
      <c r="N168" s="13"/>
      <c r="O168" s="13"/>
      <c r="P168" s="13"/>
    </row>
    <row r="169" spans="11:16" x14ac:dyDescent="0.55000000000000004">
      <c r="K169" s="20"/>
      <c r="L169" s="13"/>
      <c r="M169" s="13"/>
      <c r="N169" s="13"/>
      <c r="O169" s="13"/>
      <c r="P169" s="13"/>
    </row>
    <row r="170" spans="11:16" x14ac:dyDescent="0.55000000000000004">
      <c r="K170" s="20"/>
      <c r="L170" s="13"/>
      <c r="M170" s="13"/>
      <c r="N170" s="13"/>
      <c r="O170" s="13"/>
      <c r="P170" s="13"/>
    </row>
    <row r="171" spans="11:16" x14ac:dyDescent="0.55000000000000004">
      <c r="K171" s="20"/>
      <c r="L171" s="13"/>
      <c r="M171" s="13"/>
      <c r="N171" s="13"/>
      <c r="O171" s="13"/>
      <c r="P171" s="13"/>
    </row>
    <row r="172" spans="11:16" x14ac:dyDescent="0.55000000000000004">
      <c r="K172" s="20"/>
      <c r="L172" s="13"/>
      <c r="M172" s="13"/>
      <c r="N172" s="13"/>
      <c r="O172" s="13"/>
      <c r="P172" s="13"/>
    </row>
    <row r="173" spans="11:16" x14ac:dyDescent="0.55000000000000004">
      <c r="K173" s="20"/>
      <c r="L173" s="13"/>
      <c r="M173" s="13"/>
      <c r="N173" s="13"/>
      <c r="O173" s="13"/>
      <c r="P173" s="13"/>
    </row>
    <row r="174" spans="11:16" x14ac:dyDescent="0.55000000000000004">
      <c r="K174" s="20"/>
      <c r="L174" s="13"/>
      <c r="M174" s="13"/>
      <c r="N174" s="13"/>
      <c r="O174" s="13"/>
      <c r="P174" s="13"/>
    </row>
    <row r="175" spans="11:16" x14ac:dyDescent="0.55000000000000004">
      <c r="K175" s="20"/>
      <c r="L175" s="13"/>
      <c r="M175" s="13"/>
      <c r="N175" s="13"/>
      <c r="O175" s="13"/>
      <c r="P175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8A99-41F6-42EA-92DF-28353FB435C1}">
  <dimension ref="A1:EP180"/>
  <sheetViews>
    <sheetView topLeftCell="A17" workbookViewId="0">
      <selection activeCell="B36" sqref="B36"/>
    </sheetView>
  </sheetViews>
  <sheetFormatPr defaultRowHeight="14.4" x14ac:dyDescent="0.55000000000000004"/>
  <cols>
    <col min="1" max="1" width="40.5234375" bestFit="1" customWidth="1"/>
    <col min="2" max="2" width="17.05078125" bestFit="1" customWidth="1"/>
    <col min="3" max="3" width="19.41796875" bestFit="1" customWidth="1"/>
    <col min="5" max="5" width="10.5234375" bestFit="1" customWidth="1"/>
    <col min="6" max="6" width="18.15625" bestFit="1" customWidth="1"/>
    <col min="7" max="7" width="21.47265625" bestFit="1" customWidth="1"/>
    <col min="8" max="8" width="15.5234375" bestFit="1" customWidth="1"/>
    <col min="9" max="9" width="8.7890625" bestFit="1" customWidth="1"/>
    <col min="11" max="11" width="21.26171875" bestFit="1" customWidth="1"/>
    <col min="12" max="12" width="34.26171875" bestFit="1" customWidth="1"/>
    <col min="13" max="13" width="13.83984375" bestFit="1" customWidth="1"/>
    <col min="14" max="14" width="10.7890625" bestFit="1" customWidth="1"/>
    <col min="15" max="15" width="15.578125" bestFit="1" customWidth="1"/>
  </cols>
  <sheetData>
    <row r="1" spans="1:11" ht="14.7" thickBot="1" x14ac:dyDescent="0.6">
      <c r="A1" s="1" t="s">
        <v>61</v>
      </c>
      <c r="I1" s="19"/>
      <c r="K1" t="s">
        <v>27</v>
      </c>
    </row>
    <row r="2" spans="1:11" x14ac:dyDescent="0.55000000000000004">
      <c r="A2" s="2" t="s">
        <v>0</v>
      </c>
      <c r="B2" s="3" t="s">
        <v>1</v>
      </c>
      <c r="C2" s="3" t="s">
        <v>2</v>
      </c>
      <c r="D2" s="3"/>
      <c r="E2" s="3" t="s">
        <v>21</v>
      </c>
      <c r="F2" s="3" t="s">
        <v>4</v>
      </c>
      <c r="G2" s="3" t="s">
        <v>5</v>
      </c>
      <c r="H2" s="3" t="s">
        <v>6</v>
      </c>
      <c r="I2" s="4" t="s">
        <v>7</v>
      </c>
      <c r="K2" t="s">
        <v>29</v>
      </c>
    </row>
    <row r="3" spans="1:11" x14ac:dyDescent="0.55000000000000004">
      <c r="A3" s="5" t="s">
        <v>8</v>
      </c>
      <c r="B3" s="6">
        <v>116276</v>
      </c>
      <c r="E3">
        <v>32</v>
      </c>
      <c r="F3" s="7">
        <f>E3*B3</f>
        <v>3720832</v>
      </c>
      <c r="G3">
        <v>117086</v>
      </c>
      <c r="H3" s="8">
        <f t="shared" ref="H3:H4" si="0">G3/(E3*8760)</f>
        <v>0.41768692922374429</v>
      </c>
      <c r="I3" s="9" t="s">
        <v>9</v>
      </c>
      <c r="K3" t="s">
        <v>30</v>
      </c>
    </row>
    <row r="4" spans="1:11" x14ac:dyDescent="0.55000000000000004">
      <c r="A4" s="5" t="s">
        <v>10</v>
      </c>
      <c r="B4" s="6">
        <v>75772</v>
      </c>
      <c r="E4">
        <v>411</v>
      </c>
      <c r="F4" s="7">
        <f>E4*B4</f>
        <v>31142292</v>
      </c>
      <c r="G4">
        <v>370898</v>
      </c>
      <c r="H4" s="8">
        <f t="shared" si="0"/>
        <v>0.10301692053016921</v>
      </c>
      <c r="I4" s="9" t="s">
        <v>13</v>
      </c>
      <c r="K4" t="s">
        <v>31</v>
      </c>
    </row>
    <row r="5" spans="1:11" ht="14.7" thickBot="1" x14ac:dyDescent="0.6">
      <c r="A5" s="5"/>
      <c r="B5" s="10"/>
      <c r="H5" s="8"/>
      <c r="I5" s="9"/>
      <c r="K5" t="s">
        <v>32</v>
      </c>
    </row>
    <row r="6" spans="1:11" x14ac:dyDescent="0.55000000000000004">
      <c r="A6" s="11" t="s">
        <v>14</v>
      </c>
      <c r="B6" t="s">
        <v>50</v>
      </c>
      <c r="C6" t="s">
        <v>15</v>
      </c>
      <c r="E6" t="s">
        <v>3</v>
      </c>
      <c r="G6" t="s">
        <v>16</v>
      </c>
      <c r="I6" s="4" t="s">
        <v>7</v>
      </c>
      <c r="K6" t="s">
        <v>33</v>
      </c>
    </row>
    <row r="7" spans="1:11" x14ac:dyDescent="0.55000000000000004">
      <c r="A7" s="5" t="s">
        <v>17</v>
      </c>
      <c r="B7" s="12">
        <v>15700</v>
      </c>
      <c r="C7">
        <v>132</v>
      </c>
      <c r="E7">
        <v>420</v>
      </c>
      <c r="F7" s="7">
        <f>E7*B7</f>
        <v>6594000</v>
      </c>
      <c r="G7" s="13">
        <f>E7/70</f>
        <v>6</v>
      </c>
      <c r="I7" s="9" t="s">
        <v>13</v>
      </c>
    </row>
    <row r="8" spans="1:11" x14ac:dyDescent="0.55000000000000004">
      <c r="A8" s="5" t="s">
        <v>19</v>
      </c>
      <c r="B8" s="12">
        <v>2860</v>
      </c>
      <c r="C8">
        <v>0</v>
      </c>
      <c r="E8">
        <v>2000</v>
      </c>
      <c r="F8" s="7">
        <f t="shared" ref="F8" si="1">E8*B8</f>
        <v>5720000</v>
      </c>
      <c r="G8" s="13">
        <f>IF(E12&gt;0,E8/E12,0)</f>
        <v>46.511627906976742</v>
      </c>
      <c r="I8" s="9" t="s">
        <v>13</v>
      </c>
    </row>
    <row r="9" spans="1:11" ht="14.7" thickBot="1" x14ac:dyDescent="0.6">
      <c r="A9" s="5"/>
      <c r="B9" s="12"/>
      <c r="F9" s="7"/>
      <c r="I9" s="9"/>
    </row>
    <row r="10" spans="1:11" x14ac:dyDescent="0.55000000000000004">
      <c r="A10" s="11" t="s">
        <v>20</v>
      </c>
      <c r="B10" s="3" t="s">
        <v>1</v>
      </c>
      <c r="E10" t="s">
        <v>21</v>
      </c>
      <c r="F10" s="7"/>
      <c r="I10" s="4" t="s">
        <v>7</v>
      </c>
    </row>
    <row r="11" spans="1:11" x14ac:dyDescent="0.55000000000000004">
      <c r="A11" s="5" t="s">
        <v>22</v>
      </c>
      <c r="B11" s="12">
        <v>85810</v>
      </c>
      <c r="E11">
        <v>58</v>
      </c>
      <c r="F11" s="7">
        <f t="shared" ref="F11:F12" si="2">E11*B11</f>
        <v>4976980</v>
      </c>
      <c r="I11" s="9" t="s">
        <v>9</v>
      </c>
    </row>
    <row r="12" spans="1:11" x14ac:dyDescent="0.55000000000000004">
      <c r="A12" s="5" t="s">
        <v>23</v>
      </c>
      <c r="B12" s="12">
        <v>42910</v>
      </c>
      <c r="E12">
        <v>43</v>
      </c>
      <c r="F12" s="7">
        <f t="shared" si="2"/>
        <v>1845130</v>
      </c>
      <c r="I12" s="9" t="s">
        <v>9</v>
      </c>
    </row>
    <row r="13" spans="1:11" ht="14.7" thickBot="1" x14ac:dyDescent="0.6">
      <c r="A13" s="14"/>
      <c r="B13" s="26"/>
      <c r="C13" s="15"/>
      <c r="D13" s="15"/>
      <c r="E13" s="16" t="s">
        <v>24</v>
      </c>
      <c r="F13" s="17">
        <f>SUM(F3:F12)</f>
        <v>53999234</v>
      </c>
      <c r="G13" s="16" t="s">
        <v>25</v>
      </c>
      <c r="H13" s="16"/>
      <c r="I13" s="18">
        <f>F13/I15</f>
        <v>123.54342579843424</v>
      </c>
    </row>
    <row r="14" spans="1:11" x14ac:dyDescent="0.55000000000000004">
      <c r="G14" t="s">
        <v>26</v>
      </c>
      <c r="I14" s="19">
        <f>(E4*'[1]Available Land_Plant Land Use'!$D$13)/1000000</f>
        <v>6.9856897320000009</v>
      </c>
    </row>
    <row r="15" spans="1:11" x14ac:dyDescent="0.55000000000000004">
      <c r="H15" t="s">
        <v>51</v>
      </c>
      <c r="I15">
        <v>437087.06999999972</v>
      </c>
    </row>
    <row r="16" spans="1:11" x14ac:dyDescent="0.55000000000000004">
      <c r="H16" t="s">
        <v>52</v>
      </c>
      <c r="I16">
        <v>361735.36589999998</v>
      </c>
    </row>
    <row r="18" spans="1:146" x14ac:dyDescent="0.55000000000000004">
      <c r="A18" t="s">
        <v>36</v>
      </c>
      <c r="B18">
        <v>2023</v>
      </c>
      <c r="C18">
        <f>B18+1</f>
        <v>2024</v>
      </c>
      <c r="D18">
        <f t="shared" ref="D18:S19" si="3">C18+1</f>
        <v>2025</v>
      </c>
      <c r="E18">
        <f t="shared" si="3"/>
        <v>2026</v>
      </c>
      <c r="F18">
        <f t="shared" si="3"/>
        <v>2027</v>
      </c>
      <c r="G18">
        <f t="shared" si="3"/>
        <v>2028</v>
      </c>
      <c r="H18">
        <f t="shared" si="3"/>
        <v>2029</v>
      </c>
      <c r="I18">
        <f t="shared" si="3"/>
        <v>2030</v>
      </c>
      <c r="J18">
        <f t="shared" si="3"/>
        <v>2031</v>
      </c>
      <c r="K18">
        <f t="shared" si="3"/>
        <v>2032</v>
      </c>
      <c r="L18">
        <f t="shared" si="3"/>
        <v>2033</v>
      </c>
      <c r="M18">
        <f t="shared" si="3"/>
        <v>2034</v>
      </c>
      <c r="N18">
        <f t="shared" si="3"/>
        <v>2035</v>
      </c>
      <c r="O18">
        <f t="shared" si="3"/>
        <v>2036</v>
      </c>
      <c r="P18">
        <f>O18+1</f>
        <v>2037</v>
      </c>
      <c r="Q18">
        <f t="shared" si="3"/>
        <v>2038</v>
      </c>
      <c r="R18">
        <f t="shared" si="3"/>
        <v>2039</v>
      </c>
      <c r="S18">
        <f>R18+1</f>
        <v>2040</v>
      </c>
    </row>
    <row r="19" spans="1:146" x14ac:dyDescent="0.55000000000000004">
      <c r="A19" t="s">
        <v>28</v>
      </c>
      <c r="B19">
        <f>2023-B36</f>
        <v>0</v>
      </c>
      <c r="C19" s="20">
        <f>B19+1</f>
        <v>1</v>
      </c>
      <c r="D19" s="20">
        <f t="shared" si="3"/>
        <v>2</v>
      </c>
      <c r="E19" s="20">
        <f t="shared" si="3"/>
        <v>3</v>
      </c>
      <c r="F19" s="20">
        <f t="shared" si="3"/>
        <v>4</v>
      </c>
      <c r="G19" s="20">
        <f t="shared" si="3"/>
        <v>5</v>
      </c>
      <c r="H19" s="20">
        <f t="shared" si="3"/>
        <v>6</v>
      </c>
      <c r="I19" s="20">
        <f t="shared" si="3"/>
        <v>7</v>
      </c>
      <c r="J19" s="20">
        <f t="shared" si="3"/>
        <v>8</v>
      </c>
      <c r="K19" s="20">
        <f t="shared" si="3"/>
        <v>9</v>
      </c>
      <c r="L19" s="20">
        <f t="shared" si="3"/>
        <v>10</v>
      </c>
      <c r="M19" s="20">
        <f t="shared" si="3"/>
        <v>11</v>
      </c>
      <c r="N19" s="20">
        <f t="shared" si="3"/>
        <v>12</v>
      </c>
      <c r="O19" s="20">
        <f t="shared" si="3"/>
        <v>13</v>
      </c>
      <c r="P19" s="20">
        <f t="shared" si="3"/>
        <v>14</v>
      </c>
      <c r="Q19" s="20">
        <f t="shared" si="3"/>
        <v>15</v>
      </c>
      <c r="R19" s="20">
        <f t="shared" si="3"/>
        <v>16</v>
      </c>
      <c r="S19" s="20">
        <f t="shared" si="3"/>
        <v>17</v>
      </c>
    </row>
    <row r="20" spans="1:146" x14ac:dyDescent="0.55000000000000004">
      <c r="A20" t="s">
        <v>46</v>
      </c>
      <c r="B20" s="13">
        <f t="shared" ref="B20:S20" si="4">($C$35*$C$34*EXP($C$37*B$19)/($C$35+$C$34*(EXP($C$37*B$19)-1)))</f>
        <v>7</v>
      </c>
      <c r="C20" s="13">
        <f t="shared" si="4"/>
        <v>10.320670734539442</v>
      </c>
      <c r="D20" s="13">
        <f t="shared" si="4"/>
        <v>15.132669853936806</v>
      </c>
      <c r="E20" s="13">
        <f t="shared" si="4"/>
        <v>22.012303591468992</v>
      </c>
      <c r="F20" s="13">
        <f t="shared" si="4"/>
        <v>31.660615062113596</v>
      </c>
      <c r="G20" s="13">
        <f t="shared" si="4"/>
        <v>44.833060790932876</v>
      </c>
      <c r="H20" s="13">
        <f t="shared" si="4"/>
        <v>62.172088142677019</v>
      </c>
      <c r="I20" s="13">
        <f>($C$35*$C$34*EXP($C$37*I$19)/($C$35+$C$34*(EXP($C$37*I$19)-1)))</f>
        <v>83.930578904999493</v>
      </c>
      <c r="J20" s="13">
        <f t="shared" si="4"/>
        <v>109.65487233640839</v>
      </c>
      <c r="K20" s="13">
        <f t="shared" si="4"/>
        <v>138.00871750632703</v>
      </c>
      <c r="L20" s="13">
        <f t="shared" si="4"/>
        <v>166.94475159609007</v>
      </c>
      <c r="M20" s="13">
        <f t="shared" si="4"/>
        <v>194.24484965716456</v>
      </c>
      <c r="N20" s="13">
        <f t="shared" si="4"/>
        <v>218.15849430960907</v>
      </c>
      <c r="O20" s="13">
        <f t="shared" si="4"/>
        <v>237.78105672107202</v>
      </c>
      <c r="P20" s="13">
        <f t="shared" si="4"/>
        <v>253.03740236193306</v>
      </c>
      <c r="Q20" s="13">
        <f t="shared" si="4"/>
        <v>264.40927970846923</v>
      </c>
      <c r="R20" s="13">
        <f t="shared" si="4"/>
        <v>272.62206865641753</v>
      </c>
      <c r="S20" s="13">
        <f t="shared" si="4"/>
        <v>278.41895759337081</v>
      </c>
    </row>
    <row r="21" spans="1:146" x14ac:dyDescent="0.55000000000000004">
      <c r="A21" t="s">
        <v>45</v>
      </c>
      <c r="B21" s="13">
        <f>($B$35*$B$34*EXP($B$37*B$19)/($B$35+$B$34*(EXP($B$37*B$19)-1)))</f>
        <v>2.2000000000000002</v>
      </c>
      <c r="C21" s="13">
        <f t="shared" ref="C21:S21" si="5">($B$35*$B$34*EXP($B$37*C$19)/($B$35+$B$34*(EXP($B$37*C$19)-1)))</f>
        <v>3.4147087637389353</v>
      </c>
      <c r="D21" s="13">
        <f t="shared" si="5"/>
        <v>5.2701021244996564</v>
      </c>
      <c r="E21" s="13">
        <f t="shared" si="5"/>
        <v>8.0638996348189966</v>
      </c>
      <c r="F21" s="13">
        <f t="shared" si="5"/>
        <v>12.181499338810641</v>
      </c>
      <c r="G21" s="13">
        <f t="shared" si="5"/>
        <v>18.062361963063857</v>
      </c>
      <c r="H21" s="13">
        <f t="shared" si="5"/>
        <v>26.095183722708445</v>
      </c>
      <c r="I21" s="13">
        <f t="shared" si="5"/>
        <v>36.423938828644097</v>
      </c>
      <c r="J21" s="13">
        <f t="shared" si="5"/>
        <v>48.719862504970479</v>
      </c>
      <c r="K21" s="13">
        <f t="shared" si="5"/>
        <v>62.083234942055135</v>
      </c>
      <c r="L21" s="13">
        <f t="shared" si="5"/>
        <v>75.242833586543171</v>
      </c>
      <c r="M21" s="13">
        <f t="shared" si="5"/>
        <v>87.001639601828629</v>
      </c>
      <c r="N21" s="13">
        <f t="shared" si="5"/>
        <v>96.630620741237777</v>
      </c>
      <c r="O21" s="13">
        <f t="shared" si="5"/>
        <v>103.9676201646554</v>
      </c>
      <c r="P21" s="13">
        <f t="shared" si="5"/>
        <v>109.25720113646122</v>
      </c>
      <c r="Q21" s="13">
        <f t="shared" si="5"/>
        <v>112.92042233322103</v>
      </c>
      <c r="R21" s="13">
        <f t="shared" si="5"/>
        <v>115.38724749346785</v>
      </c>
      <c r="S21" s="13">
        <f t="shared" si="5"/>
        <v>117.01723087028252</v>
      </c>
    </row>
    <row r="22" spans="1:146" x14ac:dyDescent="0.55000000000000004">
      <c r="A22" t="s">
        <v>40</v>
      </c>
      <c r="B22" s="13">
        <f>($D$35*$D$34*EXP($D$37*B$19)/($D$35+$D$34*(EXP($D$37*B$19)-1)))</f>
        <v>1</v>
      </c>
      <c r="C22" s="13">
        <f t="shared" ref="C22:S22" si="6">($D$35*$D$34*EXP($D$37*C$19)/($D$35+$D$34*(EXP($D$37*C$19)-1)))</f>
        <v>1.5409453719878139</v>
      </c>
      <c r="D22" s="13">
        <f t="shared" si="6"/>
        <v>2.3523082236076438</v>
      </c>
      <c r="E22" s="13">
        <f t="shared" si="6"/>
        <v>3.5412143927152231</v>
      </c>
      <c r="F22" s="13">
        <f t="shared" si="6"/>
        <v>5.225116353594478</v>
      </c>
      <c r="G22" s="13">
        <f t="shared" si="6"/>
        <v>7.4987534000562519</v>
      </c>
      <c r="H22" s="13">
        <f t="shared" si="6"/>
        <v>10.378251949058241</v>
      </c>
      <c r="I22" s="13">
        <f t="shared" si="6"/>
        <v>13.743249025290577</v>
      </c>
      <c r="J22" s="13">
        <f t="shared" si="6"/>
        <v>17.325060511358146</v>
      </c>
      <c r="K22" s="13">
        <f t="shared" si="6"/>
        <v>20.777957724620958</v>
      </c>
      <c r="L22" s="13">
        <f t="shared" si="6"/>
        <v>23.802813458397335</v>
      </c>
      <c r="M22" s="13">
        <f t="shared" si="6"/>
        <v>26.238419004679347</v>
      </c>
      <c r="N22" s="13">
        <f t="shared" si="6"/>
        <v>28.069830494334543</v>
      </c>
      <c r="O22" s="13">
        <f t="shared" si="6"/>
        <v>29.377287599439224</v>
      </c>
      <c r="P22" s="13">
        <f t="shared" si="6"/>
        <v>30.276496850266788</v>
      </c>
      <c r="Q22" s="13">
        <f t="shared" si="6"/>
        <v>30.87917046641218</v>
      </c>
      <c r="R22" s="13">
        <f t="shared" si="6"/>
        <v>31.276140009569652</v>
      </c>
      <c r="S22" s="13">
        <f t="shared" si="6"/>
        <v>31.534631833301223</v>
      </c>
    </row>
    <row r="23" spans="1:146" x14ac:dyDescent="0.55000000000000004">
      <c r="A23" t="s">
        <v>62</v>
      </c>
      <c r="B23" s="13">
        <f>($E$35*$E$34*EXP($E$37*B$19)/($E$35+$E$34*(EXP($E$37*B$19)-1)))</f>
        <v>1</v>
      </c>
      <c r="C23" s="13">
        <f t="shared" ref="C23:S23" si="7">($E$35*$E$34*EXP($E$37*C$19)/($E$35+$E$34*(EXP($E$37*C$19)-1)))</f>
        <v>1.8009672428302486</v>
      </c>
      <c r="D23" s="13">
        <f t="shared" si="7"/>
        <v>3.2136035515519481</v>
      </c>
      <c r="E23" s="13">
        <f t="shared" si="7"/>
        <v>5.6426024214132351</v>
      </c>
      <c r="F23" s="13">
        <f t="shared" si="7"/>
        <v>9.6424858590289002</v>
      </c>
      <c r="G23" s="13">
        <f t="shared" si="7"/>
        <v>15.782444975725108</v>
      </c>
      <c r="H23" s="13">
        <f t="shared" si="7"/>
        <v>24.260598906356378</v>
      </c>
      <c r="I23" s="13">
        <f t="shared" si="7"/>
        <v>34.403194021487728</v>
      </c>
      <c r="J23" s="13">
        <f t="shared" si="7"/>
        <v>44.647055720588</v>
      </c>
      <c r="K23" s="13">
        <f t="shared" si="7"/>
        <v>53.368136065547567</v>
      </c>
      <c r="L23" s="13">
        <f t="shared" si="7"/>
        <v>59.776237040314363</v>
      </c>
      <c r="M23" s="13">
        <f t="shared" si="7"/>
        <v>63.993248480253584</v>
      </c>
      <c r="N23" s="13">
        <f t="shared" si="7"/>
        <v>66.570651449752475</v>
      </c>
      <c r="O23" s="13">
        <f t="shared" si="7"/>
        <v>68.075392017115036</v>
      </c>
      <c r="P23" s="13">
        <f t="shared" si="7"/>
        <v>68.930485249700965</v>
      </c>
      <c r="Q23" s="13">
        <f t="shared" si="7"/>
        <v>69.408963485592466</v>
      </c>
      <c r="R23" s="13">
        <f t="shared" si="7"/>
        <v>69.674391861667402</v>
      </c>
      <c r="S23" s="13">
        <f t="shared" si="7"/>
        <v>69.820926639513189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</row>
    <row r="24" spans="1:146" x14ac:dyDescent="0.55000000000000004">
      <c r="A24" t="s">
        <v>22</v>
      </c>
      <c r="B24" s="13">
        <f>($F$35*$F$34*EXP($F$37*B$19)/($F$35+$F$34*(EXP($F$37*B$19)-1)))</f>
        <v>1</v>
      </c>
      <c r="C24" s="13">
        <f t="shared" ref="C24:S24" si="8">($F$35*$F$34*EXP($F$37*C$19)/($F$35+$F$34*(EXP($F$37*C$19)-1)))</f>
        <v>1.5530942136482624</v>
      </c>
      <c r="D24" s="13">
        <f t="shared" si="8"/>
        <v>2.3992252383591008</v>
      </c>
      <c r="E24" s="13">
        <f t="shared" si="8"/>
        <v>3.6763086645453473</v>
      </c>
      <c r="F24" s="13">
        <f t="shared" si="8"/>
        <v>5.5651310839445616</v>
      </c>
      <c r="G24" s="13">
        <f t="shared" si="8"/>
        <v>8.2765441112806197</v>
      </c>
      <c r="H24" s="13">
        <f t="shared" si="8"/>
        <v>12.006506136471689</v>
      </c>
      <c r="I24" s="13">
        <f t="shared" si="8"/>
        <v>16.847872157478722</v>
      </c>
      <c r="J24" s="13">
        <f t="shared" si="8"/>
        <v>22.678820923813898</v>
      </c>
      <c r="K24" s="13">
        <f t="shared" si="8"/>
        <v>29.10075621098256</v>
      </c>
      <c r="L24" s="13">
        <f t="shared" si="8"/>
        <v>35.512824724881121</v>
      </c>
      <c r="M24" s="13">
        <f t="shared" si="8"/>
        <v>41.317771657019492</v>
      </c>
      <c r="N24" s="13">
        <f t="shared" si="8"/>
        <v>46.125273673379233</v>
      </c>
      <c r="O24" s="13">
        <f t="shared" si="8"/>
        <v>49.821576393168968</v>
      </c>
      <c r="P24" s="13">
        <f t="shared" si="8"/>
        <v>52.504397654957081</v>
      </c>
      <c r="Q24" s="13">
        <f t="shared" si="8"/>
        <v>54.371254922313419</v>
      </c>
      <c r="R24" s="13">
        <f t="shared" si="8"/>
        <v>55.632535687199869</v>
      </c>
      <c r="S24" s="13">
        <f t="shared" si="8"/>
        <v>56.467774310938431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</row>
    <row r="25" spans="1:146" x14ac:dyDescent="0.55000000000000004">
      <c r="A25" t="s">
        <v>23</v>
      </c>
      <c r="B25" s="13">
        <f>($G$35*$G$34*EXP($G$37*B$19)/($G$35+$G$34*(EXP($G$37*B$19)-1)))</f>
        <v>1</v>
      </c>
      <c r="C25" s="13">
        <f t="shared" ref="C25:S25" si="9">($G$35*$G$34*EXP($G$37*C$19)/($G$35+$G$34*(EXP($G$37*C$19)-1)))</f>
        <v>1.5478548649983366</v>
      </c>
      <c r="D25" s="13">
        <f t="shared" si="9"/>
        <v>2.3788546540850266</v>
      </c>
      <c r="E25" s="13">
        <f t="shared" si="9"/>
        <v>3.6170651950126804</v>
      </c>
      <c r="F25" s="13">
        <f t="shared" si="9"/>
        <v>5.4138761613687292</v>
      </c>
      <c r="G25" s="13">
        <f t="shared" si="9"/>
        <v>7.9236857930607059</v>
      </c>
      <c r="H25" s="13">
        <f t="shared" si="9"/>
        <v>11.248795392783869</v>
      </c>
      <c r="I25" s="13">
        <f t="shared" si="9"/>
        <v>15.358298413235376</v>
      </c>
      <c r="J25" s="13">
        <f t="shared" si="9"/>
        <v>20.022384627556161</v>
      </c>
      <c r="K25" s="13">
        <f t="shared" si="9"/>
        <v>24.830521084918036</v>
      </c>
      <c r="L25" s="13">
        <f t="shared" si="9"/>
        <v>29.31995724942054</v>
      </c>
      <c r="M25" s="13">
        <f t="shared" si="9"/>
        <v>33.140574010025773</v>
      </c>
      <c r="N25" s="13">
        <f t="shared" si="9"/>
        <v>36.143674987020717</v>
      </c>
      <c r="O25" s="13">
        <f t="shared" si="9"/>
        <v>38.360122099752004</v>
      </c>
      <c r="P25" s="13">
        <f t="shared" si="9"/>
        <v>39.921093613889084</v>
      </c>
      <c r="Q25" s="13">
        <f t="shared" si="9"/>
        <v>40.984507182421211</v>
      </c>
      <c r="R25" s="13">
        <f t="shared" si="9"/>
        <v>41.692659779593299</v>
      </c>
      <c r="S25" s="13">
        <f t="shared" si="9"/>
        <v>42.157116786407627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</row>
    <row r="26" spans="1:146" x14ac:dyDescent="0.55000000000000004">
      <c r="A26" t="s">
        <v>19</v>
      </c>
      <c r="B26" s="13">
        <f>($H$35*$H$34*EXP($H$37*B$19)/($H$35+$H$34*(EXP($H$37*B$19)-1)))</f>
        <v>1</v>
      </c>
      <c r="C26" s="13">
        <f t="shared" ref="C26:S26" si="10">($H$35*$H$34*EXP($H$37*C$19)/($H$35+$H$34*(EXP($H$37*C$19)-1)))</f>
        <v>1.9673706760871881</v>
      </c>
      <c r="D26" s="13">
        <f t="shared" si="10"/>
        <v>3.7861869821399812</v>
      </c>
      <c r="E26" s="13">
        <f t="shared" si="10"/>
        <v>6.9996435217678385</v>
      </c>
      <c r="F26" s="13">
        <f t="shared" si="10"/>
        <v>12.098966290730822</v>
      </c>
      <c r="G26" s="13">
        <f t="shared" si="10"/>
        <v>18.957010802608757</v>
      </c>
      <c r="H26" s="13">
        <f t="shared" si="10"/>
        <v>26.383375050907155</v>
      </c>
      <c r="I26" s="13">
        <f t="shared" si="10"/>
        <v>32.755503675665835</v>
      </c>
      <c r="J26" s="13">
        <f t="shared" si="10"/>
        <v>37.219438699569977</v>
      </c>
      <c r="K26" s="13">
        <f t="shared" si="10"/>
        <v>39.921093613889084</v>
      </c>
      <c r="L26" s="13">
        <f t="shared" si="10"/>
        <v>41.413887750737345</v>
      </c>
      <c r="M26" s="13">
        <f t="shared" si="10"/>
        <v>42.197457457019603</v>
      </c>
      <c r="N26" s="13">
        <f t="shared" si="10"/>
        <v>42.597689207689911</v>
      </c>
      <c r="O26" s="13">
        <f t="shared" si="10"/>
        <v>42.799272952484813</v>
      </c>
      <c r="P26" s="13">
        <f t="shared" si="10"/>
        <v>42.900087105277777</v>
      </c>
      <c r="Q26" s="13">
        <f t="shared" si="10"/>
        <v>42.950326621270406</v>
      </c>
      <c r="R26" s="13">
        <f t="shared" si="10"/>
        <v>42.975318576847393</v>
      </c>
      <c r="S26" s="13">
        <f t="shared" si="10"/>
        <v>42.987740025425865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</row>
    <row r="27" spans="1:146" x14ac:dyDescent="0.55000000000000004">
      <c r="A27" t="s">
        <v>12</v>
      </c>
      <c r="B27" s="13">
        <f>B29/8760*1.95</f>
        <v>77.860670438839449</v>
      </c>
      <c r="C27" s="13">
        <f t="shared" ref="C27:S27" si="11">C29/8760*1.95</f>
        <v>77.906786804209062</v>
      </c>
      <c r="D27" s="13">
        <f t="shared" si="11"/>
        <v>77.304365815309623</v>
      </c>
      <c r="E27" s="13">
        <f t="shared" si="11"/>
        <v>75.790577683153828</v>
      </c>
      <c r="F27" s="13">
        <f t="shared" si="11"/>
        <v>73.051511045314328</v>
      </c>
      <c r="G27" s="13">
        <f t="shared" si="11"/>
        <v>68.769963184279817</v>
      </c>
      <c r="H27" s="13">
        <f t="shared" si="11"/>
        <v>62.725660091936142</v>
      </c>
      <c r="I27" s="13">
        <f t="shared" si="11"/>
        <v>54.936914527718166</v>
      </c>
      <c r="J27" s="13">
        <f t="shared" si="11"/>
        <v>45.779742868606149</v>
      </c>
      <c r="K27" s="13">
        <f t="shared" si="11"/>
        <v>35.984905999704417</v>
      </c>
      <c r="L27" s="13">
        <f t="shared" si="11"/>
        <v>26.462687262411844</v>
      </c>
      <c r="M27" s="13">
        <f t="shared" si="11"/>
        <v>18.030433770671642</v>
      </c>
      <c r="N27" s="13">
        <f t="shared" si="11"/>
        <v>11.198416504490122</v>
      </c>
      <c r="O27" s="13">
        <f t="shared" si="11"/>
        <v>6.1155801934602438</v>
      </c>
      <c r="P27" s="13">
        <f t="shared" si="11"/>
        <v>2.6536477305227439</v>
      </c>
      <c r="Q27" s="13">
        <f t="shared" si="11"/>
        <v>0.54027207965581936</v>
      </c>
      <c r="R27" s="13">
        <f t="shared" si="11"/>
        <v>-0.53061700304332649</v>
      </c>
      <c r="S27" s="13">
        <f t="shared" si="11"/>
        <v>-0.8352969218900248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</row>
    <row r="28" spans="1:146" x14ac:dyDescent="0.55000000000000004">
      <c r="A28" t="s">
        <v>56</v>
      </c>
      <c r="B28">
        <f>I16</f>
        <v>361735.36589999998</v>
      </c>
      <c r="C28">
        <f>B28+($I$15-$I$16)/($N$18-$B$18)</f>
        <v>368014.67457499995</v>
      </c>
      <c r="D28">
        <f t="shared" ref="D28:G28" si="12">C28+($I$15-$I$16)/($N$18-$B$18)</f>
        <v>374293.98324999993</v>
      </c>
      <c r="E28">
        <f t="shared" si="12"/>
        <v>380573.29192499991</v>
      </c>
      <c r="F28">
        <f t="shared" si="12"/>
        <v>386852.60059999989</v>
      </c>
      <c r="G28">
        <f t="shared" si="12"/>
        <v>393131.90927499987</v>
      </c>
      <c r="H28">
        <f t="shared" ref="H28:S28" si="13">G28+($I$15-$I$16)/($N$18-$B$18)</f>
        <v>399411.21794999985</v>
      </c>
      <c r="I28">
        <f t="shared" si="13"/>
        <v>405690.52662499982</v>
      </c>
      <c r="J28">
        <f t="shared" si="13"/>
        <v>411969.8352999998</v>
      </c>
      <c r="K28">
        <f t="shared" si="13"/>
        <v>418249.14397499978</v>
      </c>
      <c r="L28">
        <f t="shared" si="13"/>
        <v>424528.45264999976</v>
      </c>
      <c r="M28">
        <f t="shared" si="13"/>
        <v>430807.76132499974</v>
      </c>
      <c r="N28">
        <f t="shared" si="13"/>
        <v>437087.06999999972</v>
      </c>
      <c r="O28">
        <f t="shared" si="13"/>
        <v>443366.37867499969</v>
      </c>
      <c r="P28">
        <f t="shared" si="13"/>
        <v>449645.68734999967</v>
      </c>
      <c r="Q28">
        <f t="shared" si="13"/>
        <v>455924.99602499965</v>
      </c>
      <c r="R28">
        <f t="shared" si="13"/>
        <v>462204.30469999963</v>
      </c>
      <c r="S28">
        <f t="shared" si="13"/>
        <v>468483.61337499961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</row>
    <row r="29" spans="1:146" x14ac:dyDescent="0.55000000000000004">
      <c r="A29" t="s">
        <v>57</v>
      </c>
      <c r="B29">
        <f>B28-(B20*$B$40+B21*$C$40+B22*$D$40)</f>
        <v>349774.08874063258</v>
      </c>
      <c r="C29">
        <f t="shared" ref="C29:S29" si="14">C28-(C20*$B$40+C21*$C$40+C22*$D$40)</f>
        <v>349981.25764352374</v>
      </c>
      <c r="D29">
        <f t="shared" si="14"/>
        <v>347274.99720108323</v>
      </c>
      <c r="E29">
        <f>E28-(E20*$B$40+E21*$C$40+E22*$D$40)</f>
        <v>340474.5951304757</v>
      </c>
      <c r="F29">
        <f t="shared" si="14"/>
        <v>328169.86500356591</v>
      </c>
      <c r="G29">
        <f t="shared" si="14"/>
        <v>308935.83461245702</v>
      </c>
      <c r="H29">
        <f t="shared" si="14"/>
        <v>281782.96533608239</v>
      </c>
      <c r="I29">
        <f t="shared" si="14"/>
        <v>246793.52372451854</v>
      </c>
      <c r="J29">
        <f t="shared" si="14"/>
        <v>205656.69104050763</v>
      </c>
      <c r="K29">
        <f t="shared" si="14"/>
        <v>161655.2700294414</v>
      </c>
      <c r="L29">
        <f t="shared" si="14"/>
        <v>118878.53354806552</v>
      </c>
      <c r="M29">
        <f t="shared" si="14"/>
        <v>80998.25632363261</v>
      </c>
      <c r="N29">
        <f t="shared" si="14"/>
        <v>50306.732604786404</v>
      </c>
      <c r="O29">
        <f t="shared" si="14"/>
        <v>27473.06794600602</v>
      </c>
      <c r="P29">
        <f>P28-(P20*$B$40+P21*$C$40+P22*$D$40)</f>
        <v>11921.002112502174</v>
      </c>
      <c r="Q29">
        <f t="shared" si="14"/>
        <v>2427.0684193769121</v>
      </c>
      <c r="R29">
        <f t="shared" si="14"/>
        <v>-2383.6948444407899</v>
      </c>
      <c r="S29">
        <f t="shared" si="14"/>
        <v>-3752.4107875674963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</row>
    <row r="30" spans="1:146" x14ac:dyDescent="0.55000000000000004">
      <c r="A30" t="s">
        <v>58</v>
      </c>
      <c r="B30" s="27">
        <f>(B28-B29)/B28</f>
        <v>3.3066374722879696E-2</v>
      </c>
      <c r="C30" s="27">
        <f t="shared" ref="C30:H30" si="15">(C28-C29)/C28</f>
        <v>4.9001896330090694E-2</v>
      </c>
      <c r="D30" s="27">
        <f t="shared" si="15"/>
        <v>7.2186535872980018E-2</v>
      </c>
      <c r="E30" s="27">
        <f t="shared" si="15"/>
        <v>0.10536392764636388</v>
      </c>
      <c r="F30" s="27">
        <f t="shared" si="15"/>
        <v>0.1516927519820685</v>
      </c>
      <c r="G30" s="27">
        <f t="shared" si="15"/>
        <v>0.21416749105361177</v>
      </c>
      <c r="H30" s="27">
        <f t="shared" si="15"/>
        <v>0.29450412839591977</v>
      </c>
      <c r="I30" s="27">
        <f t="shared" ref="I30" si="16">(I28-I29)/I28</f>
        <v>0.39167047902835989</v>
      </c>
      <c r="J30" s="27">
        <f t="shared" ref="J30" si="17">(J28-J29)/J28</f>
        <v>0.50079672486033655</v>
      </c>
      <c r="K30" s="27">
        <f t="shared" ref="K30" si="18">(K28-K29)/K28</f>
        <v>0.61349527582271846</v>
      </c>
      <c r="L30" s="27">
        <f t="shared" ref="L30" si="19">(L28-L29)/L28</f>
        <v>0.71997510931010722</v>
      </c>
      <c r="M30" s="27">
        <f t="shared" ref="M30:N30" si="20">(M28-M29)/M28</f>
        <v>0.81198515069804456</v>
      </c>
      <c r="N30" s="27">
        <f t="shared" si="20"/>
        <v>0.88490455092897979</v>
      </c>
      <c r="O30" s="27">
        <f t="shared" ref="O30" si="21">(O28-O29)/O28</f>
        <v>0.93803529255396123</v>
      </c>
      <c r="P30" s="27">
        <f t="shared" ref="P30" si="22">(P28-P29)/P28</f>
        <v>0.97348800967544258</v>
      </c>
      <c r="Q30" s="27">
        <f t="shared" ref="Q30" si="23">(Q28-Q29)/Q28</f>
        <v>0.99467660593181462</v>
      </c>
      <c r="R30" s="27">
        <f t="shared" ref="R30" si="24">(R28-R29)/R28</f>
        <v>1.0051572320296496</v>
      </c>
      <c r="S30" s="27">
        <f t="shared" ref="S30" si="25">(S28-S29)/S28</f>
        <v>1.0080096948547139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</row>
    <row r="31" spans="1:146" x14ac:dyDescent="0.55000000000000004">
      <c r="A31" t="s">
        <v>59</v>
      </c>
      <c r="B31" s="27">
        <f>N30</f>
        <v>0.88490455092897979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</row>
    <row r="32" spans="1:146" x14ac:dyDescent="0.55000000000000004">
      <c r="B32" s="27"/>
    </row>
    <row r="33" spans="1:16" x14ac:dyDescent="0.55000000000000004">
      <c r="A33" s="21" t="s">
        <v>37</v>
      </c>
      <c r="B33" s="23" t="s">
        <v>43</v>
      </c>
      <c r="C33" s="21" t="s">
        <v>44</v>
      </c>
      <c r="D33" s="24" t="s">
        <v>8</v>
      </c>
      <c r="E33" s="23" t="s">
        <v>54</v>
      </c>
      <c r="F33" s="21" t="s">
        <v>22</v>
      </c>
      <c r="G33" s="21" t="s">
        <v>23</v>
      </c>
      <c r="H33" s="21" t="s">
        <v>19</v>
      </c>
    </row>
    <row r="34" spans="1:16" x14ac:dyDescent="0.55000000000000004">
      <c r="A34" s="21" t="s">
        <v>38</v>
      </c>
      <c r="B34" s="23">
        <v>2.2000000000000002</v>
      </c>
      <c r="C34" s="21">
        <v>7</v>
      </c>
      <c r="D34" s="24">
        <v>1</v>
      </c>
      <c r="E34" s="23">
        <v>1</v>
      </c>
      <c r="F34" s="21">
        <v>1</v>
      </c>
      <c r="G34" s="21">
        <v>1</v>
      </c>
      <c r="H34" s="21">
        <v>1</v>
      </c>
      <c r="M34" s="22"/>
    </row>
    <row r="35" spans="1:16" x14ac:dyDescent="0.55000000000000004">
      <c r="A35" s="21" t="s">
        <v>39</v>
      </c>
      <c r="B35" s="23">
        <v>120</v>
      </c>
      <c r="C35" s="21">
        <f>E4-B35</f>
        <v>291</v>
      </c>
      <c r="D35" s="24">
        <f>E3</f>
        <v>32</v>
      </c>
      <c r="E35" s="23">
        <f>E7/G7</f>
        <v>70</v>
      </c>
      <c r="F35" s="21">
        <f>E11</f>
        <v>58</v>
      </c>
      <c r="G35" s="21">
        <f>E12</f>
        <v>43</v>
      </c>
      <c r="H35" s="21">
        <f>E8/G8</f>
        <v>43</v>
      </c>
      <c r="L35" s="13"/>
      <c r="M35" s="13"/>
      <c r="N35" s="13"/>
      <c r="O35" s="13"/>
      <c r="P35" s="13"/>
    </row>
    <row r="36" spans="1:16" x14ac:dyDescent="0.55000000000000004">
      <c r="A36" s="21" t="s">
        <v>35</v>
      </c>
      <c r="B36" s="23">
        <v>2023</v>
      </c>
      <c r="C36" s="21">
        <f>B36</f>
        <v>2023</v>
      </c>
      <c r="D36" s="24">
        <v>2023</v>
      </c>
      <c r="E36" s="23">
        <v>2023</v>
      </c>
      <c r="F36" s="23">
        <v>2023</v>
      </c>
      <c r="G36" s="23">
        <v>2023</v>
      </c>
      <c r="H36" s="23">
        <v>2023</v>
      </c>
      <c r="K36" s="20"/>
      <c r="L36" s="13"/>
      <c r="M36" s="13"/>
      <c r="N36" s="13"/>
      <c r="O36" s="13"/>
      <c r="P36" s="13"/>
    </row>
    <row r="37" spans="1:16" x14ac:dyDescent="0.55000000000000004">
      <c r="A37" s="21" t="s">
        <v>34</v>
      </c>
      <c r="B37" s="23">
        <v>0.45</v>
      </c>
      <c r="C37" s="21">
        <v>0.4</v>
      </c>
      <c r="D37" s="24">
        <v>0.45</v>
      </c>
      <c r="E37" s="23">
        <v>0.6</v>
      </c>
      <c r="F37" s="21">
        <v>0.45</v>
      </c>
      <c r="G37" s="21">
        <v>0.45</v>
      </c>
      <c r="H37" s="21">
        <v>0.7</v>
      </c>
      <c r="K37" s="20"/>
      <c r="L37" s="13"/>
      <c r="M37" s="13"/>
      <c r="N37" s="13"/>
      <c r="O37" s="13"/>
      <c r="P37" s="13"/>
    </row>
    <row r="38" spans="1:16" x14ac:dyDescent="0.55000000000000004">
      <c r="A38" s="21" t="s">
        <v>42</v>
      </c>
      <c r="B38" s="25">
        <f>I21</f>
        <v>36.423938828644097</v>
      </c>
      <c r="C38" s="25">
        <f>I20</f>
        <v>83.930578904999493</v>
      </c>
      <c r="D38" s="25">
        <f>I22</f>
        <v>13.743249025290577</v>
      </c>
      <c r="E38" s="28">
        <f>I23</f>
        <v>34.403194021487728</v>
      </c>
      <c r="F38" s="25">
        <f>I24</f>
        <v>16.847872157478722</v>
      </c>
      <c r="G38" s="25">
        <f>I25</f>
        <v>15.358298413235376</v>
      </c>
      <c r="H38" s="25">
        <f>I26</f>
        <v>32.755503675665835</v>
      </c>
      <c r="K38" s="20"/>
      <c r="L38" s="13"/>
      <c r="M38" s="13"/>
      <c r="N38" s="13"/>
      <c r="O38" s="13"/>
      <c r="P38" s="13"/>
    </row>
    <row r="39" spans="1:16" x14ac:dyDescent="0.55000000000000004">
      <c r="A39" s="21" t="s">
        <v>60</v>
      </c>
      <c r="B39" s="25">
        <f>S21</f>
        <v>117.01723087028252</v>
      </c>
      <c r="C39" s="25">
        <f>S20</f>
        <v>278.41895759337081</v>
      </c>
      <c r="D39" s="25">
        <f>S21</f>
        <v>117.01723087028252</v>
      </c>
      <c r="E39" s="25">
        <f>S23</f>
        <v>69.820926639513189</v>
      </c>
      <c r="F39" s="25">
        <f>S24</f>
        <v>56.467774310938431</v>
      </c>
      <c r="G39" s="25">
        <f>S25</f>
        <v>42.157116786407627</v>
      </c>
      <c r="H39" s="25">
        <f>S26</f>
        <v>42.987740025425865</v>
      </c>
      <c r="K39" s="20"/>
      <c r="L39" s="13"/>
      <c r="M39" s="13"/>
      <c r="N39" s="13"/>
      <c r="O39" s="13"/>
      <c r="P39" s="13"/>
    </row>
    <row r="40" spans="1:16" x14ac:dyDescent="0.55000000000000004">
      <c r="A40" s="21" t="s">
        <v>53</v>
      </c>
      <c r="B40" s="29">
        <f>G4/E4</f>
        <v>902.42822384428223</v>
      </c>
      <c r="C40" s="29">
        <f>B40</f>
        <v>902.42822384428223</v>
      </c>
      <c r="D40" s="29">
        <f>G3/E3</f>
        <v>3658.9375</v>
      </c>
      <c r="E40" s="29"/>
      <c r="F40" s="21"/>
      <c r="G40" s="21"/>
      <c r="H40" s="21"/>
      <c r="K40" s="20"/>
      <c r="L40" s="13"/>
      <c r="M40" s="13"/>
      <c r="N40" s="13"/>
      <c r="O40" s="13"/>
      <c r="P40" s="13"/>
    </row>
    <row r="41" spans="1:16" x14ac:dyDescent="0.55000000000000004">
      <c r="K41" s="20"/>
      <c r="L41" s="13"/>
      <c r="M41" s="13"/>
      <c r="N41" s="13"/>
      <c r="O41" s="13"/>
      <c r="P41" s="13"/>
    </row>
    <row r="42" spans="1:16" x14ac:dyDescent="0.55000000000000004">
      <c r="K42" s="20"/>
      <c r="L42" s="13"/>
      <c r="M42" s="13"/>
      <c r="N42" s="13"/>
      <c r="O42" s="13"/>
      <c r="P42" s="13"/>
    </row>
    <row r="43" spans="1:16" x14ac:dyDescent="0.55000000000000004">
      <c r="K43" s="20"/>
      <c r="L43" s="13"/>
      <c r="M43" s="13"/>
      <c r="N43" s="13"/>
      <c r="O43" s="13"/>
      <c r="P43" s="13"/>
    </row>
    <row r="44" spans="1:16" x14ac:dyDescent="0.55000000000000004">
      <c r="K44" s="20"/>
      <c r="L44" s="13"/>
      <c r="M44" s="13"/>
      <c r="N44" s="13"/>
      <c r="O44" s="13"/>
      <c r="P44" s="13"/>
    </row>
    <row r="45" spans="1:16" x14ac:dyDescent="0.55000000000000004">
      <c r="K45" s="20"/>
      <c r="L45" s="13"/>
      <c r="M45" s="13"/>
      <c r="N45" s="13"/>
      <c r="O45" s="13"/>
      <c r="P45" s="13"/>
    </row>
    <row r="46" spans="1:16" x14ac:dyDescent="0.55000000000000004">
      <c r="K46" s="20"/>
      <c r="L46" s="13"/>
      <c r="M46" s="13"/>
      <c r="N46" s="13"/>
      <c r="O46" s="13"/>
      <c r="P46" s="13"/>
    </row>
    <row r="47" spans="1:16" x14ac:dyDescent="0.55000000000000004">
      <c r="K47" s="20"/>
      <c r="L47" s="13"/>
      <c r="M47" s="13"/>
      <c r="N47" s="13"/>
      <c r="O47" s="13"/>
      <c r="P47" s="13"/>
    </row>
    <row r="48" spans="1:16" x14ac:dyDescent="0.55000000000000004">
      <c r="K48" s="20"/>
      <c r="L48" s="13"/>
      <c r="M48" s="13"/>
      <c r="N48" s="13"/>
      <c r="O48" s="13"/>
      <c r="P48" s="13"/>
    </row>
    <row r="49" spans="11:16" x14ac:dyDescent="0.55000000000000004">
      <c r="K49" s="20"/>
      <c r="L49" s="13"/>
      <c r="M49" s="13"/>
      <c r="N49" s="13"/>
      <c r="O49" s="13"/>
      <c r="P49" s="13"/>
    </row>
    <row r="50" spans="11:16" x14ac:dyDescent="0.55000000000000004">
      <c r="K50" s="20"/>
      <c r="L50" s="13"/>
      <c r="M50" s="13"/>
      <c r="N50" s="13"/>
      <c r="O50" s="13"/>
      <c r="P50" s="13"/>
    </row>
    <row r="51" spans="11:16" x14ac:dyDescent="0.55000000000000004">
      <c r="K51" s="20"/>
      <c r="L51" s="13"/>
      <c r="M51" s="13"/>
      <c r="N51" s="13"/>
      <c r="O51" s="13"/>
      <c r="P51" s="13"/>
    </row>
    <row r="52" spans="11:16" x14ac:dyDescent="0.55000000000000004">
      <c r="K52" s="20"/>
      <c r="L52" s="13"/>
      <c r="M52" s="13"/>
      <c r="N52" s="13"/>
      <c r="O52" s="13"/>
      <c r="P52" s="13"/>
    </row>
    <row r="53" spans="11:16" x14ac:dyDescent="0.55000000000000004">
      <c r="K53" s="20"/>
      <c r="L53" s="13"/>
      <c r="M53" s="13"/>
      <c r="N53" s="13"/>
      <c r="O53" s="13"/>
      <c r="P53" s="13"/>
    </row>
    <row r="54" spans="11:16" x14ac:dyDescent="0.55000000000000004">
      <c r="K54" s="20"/>
      <c r="L54" s="13"/>
      <c r="M54" s="13"/>
      <c r="N54" s="13"/>
      <c r="O54" s="13"/>
      <c r="P54" s="13"/>
    </row>
    <row r="55" spans="11:16" x14ac:dyDescent="0.55000000000000004">
      <c r="K55" s="20"/>
      <c r="L55" s="13"/>
      <c r="M55" s="13"/>
      <c r="N55" s="13"/>
      <c r="O55" s="13"/>
      <c r="P55" s="13"/>
    </row>
    <row r="56" spans="11:16" x14ac:dyDescent="0.55000000000000004">
      <c r="K56" s="20"/>
      <c r="L56" s="13"/>
      <c r="M56" s="13"/>
      <c r="N56" s="13"/>
      <c r="O56" s="13"/>
      <c r="P56" s="13"/>
    </row>
    <row r="57" spans="11:16" x14ac:dyDescent="0.55000000000000004">
      <c r="K57" s="20"/>
      <c r="L57" s="13"/>
      <c r="M57" s="13"/>
      <c r="N57" s="13"/>
      <c r="O57" s="13"/>
      <c r="P57" s="13"/>
    </row>
    <row r="58" spans="11:16" x14ac:dyDescent="0.55000000000000004">
      <c r="K58" s="20"/>
      <c r="L58" s="13"/>
      <c r="M58" s="13"/>
      <c r="N58" s="13"/>
      <c r="O58" s="13"/>
      <c r="P58" s="13"/>
    </row>
    <row r="59" spans="11:16" x14ac:dyDescent="0.55000000000000004">
      <c r="K59" s="20"/>
      <c r="L59" s="13"/>
      <c r="M59" s="13"/>
      <c r="N59" s="13"/>
      <c r="O59" s="13"/>
      <c r="P59" s="13"/>
    </row>
    <row r="60" spans="11:16" x14ac:dyDescent="0.55000000000000004">
      <c r="K60" s="20"/>
      <c r="L60" s="13"/>
      <c r="M60" s="13"/>
      <c r="N60" s="13"/>
      <c r="O60" s="13"/>
      <c r="P60" s="13"/>
    </row>
    <row r="61" spans="11:16" x14ac:dyDescent="0.55000000000000004">
      <c r="K61" s="20"/>
      <c r="L61" s="13"/>
      <c r="M61" s="13"/>
      <c r="N61" s="13"/>
      <c r="O61" s="13"/>
      <c r="P61" s="13"/>
    </row>
    <row r="62" spans="11:16" x14ac:dyDescent="0.55000000000000004">
      <c r="K62" s="20"/>
      <c r="L62" s="13"/>
      <c r="M62" s="13"/>
      <c r="N62" s="13"/>
      <c r="O62" s="13"/>
      <c r="P62" s="13"/>
    </row>
    <row r="63" spans="11:16" x14ac:dyDescent="0.55000000000000004">
      <c r="K63" s="20"/>
      <c r="L63" s="13"/>
      <c r="M63" s="13"/>
      <c r="N63" s="13"/>
      <c r="O63" s="13"/>
      <c r="P63" s="13"/>
    </row>
    <row r="64" spans="11:16" x14ac:dyDescent="0.55000000000000004">
      <c r="K64" s="20"/>
      <c r="L64" s="13"/>
      <c r="M64" s="13"/>
      <c r="N64" s="13"/>
      <c r="O64" s="13"/>
      <c r="P64" s="13"/>
    </row>
    <row r="65" spans="11:16" x14ac:dyDescent="0.55000000000000004">
      <c r="K65" s="20"/>
      <c r="L65" s="13"/>
      <c r="M65" s="13"/>
      <c r="N65" s="13"/>
      <c r="O65" s="13"/>
      <c r="P65" s="13"/>
    </row>
    <row r="66" spans="11:16" x14ac:dyDescent="0.55000000000000004">
      <c r="K66" s="20"/>
      <c r="L66" s="13"/>
      <c r="M66" s="13"/>
      <c r="N66" s="13"/>
      <c r="O66" s="13"/>
      <c r="P66" s="13"/>
    </row>
    <row r="67" spans="11:16" x14ac:dyDescent="0.55000000000000004">
      <c r="K67" s="20"/>
      <c r="L67" s="13"/>
      <c r="M67" s="13"/>
      <c r="N67" s="13"/>
      <c r="O67" s="13"/>
      <c r="P67" s="13"/>
    </row>
    <row r="68" spans="11:16" x14ac:dyDescent="0.55000000000000004">
      <c r="K68" s="20"/>
      <c r="L68" s="13"/>
      <c r="M68" s="13"/>
      <c r="N68" s="13"/>
      <c r="O68" s="13"/>
      <c r="P68" s="13"/>
    </row>
    <row r="69" spans="11:16" x14ac:dyDescent="0.55000000000000004">
      <c r="K69" s="20"/>
      <c r="L69" s="13"/>
      <c r="M69" s="13"/>
      <c r="N69" s="13"/>
      <c r="O69" s="13"/>
      <c r="P69" s="13"/>
    </row>
    <row r="70" spans="11:16" x14ac:dyDescent="0.55000000000000004">
      <c r="K70" s="20"/>
      <c r="L70" s="13"/>
      <c r="M70" s="13"/>
      <c r="N70" s="13"/>
      <c r="O70" s="13"/>
      <c r="P70" s="13"/>
    </row>
    <row r="71" spans="11:16" x14ac:dyDescent="0.55000000000000004">
      <c r="K71" s="20"/>
      <c r="L71" s="13"/>
      <c r="M71" s="13"/>
      <c r="N71" s="13"/>
      <c r="O71" s="13"/>
      <c r="P71" s="13"/>
    </row>
    <row r="72" spans="11:16" x14ac:dyDescent="0.55000000000000004">
      <c r="K72" s="20"/>
      <c r="L72" s="13"/>
      <c r="M72" s="13"/>
      <c r="N72" s="13"/>
      <c r="O72" s="13"/>
      <c r="P72" s="13"/>
    </row>
    <row r="73" spans="11:16" x14ac:dyDescent="0.55000000000000004">
      <c r="K73" s="20"/>
      <c r="L73" s="13"/>
      <c r="M73" s="13"/>
      <c r="N73" s="13"/>
      <c r="O73" s="13"/>
      <c r="P73" s="13"/>
    </row>
    <row r="74" spans="11:16" x14ac:dyDescent="0.55000000000000004">
      <c r="K74" s="20"/>
      <c r="L74" s="13"/>
      <c r="M74" s="13"/>
      <c r="N74" s="13"/>
      <c r="O74" s="13"/>
      <c r="P74" s="13"/>
    </row>
    <row r="75" spans="11:16" x14ac:dyDescent="0.55000000000000004">
      <c r="K75" s="20"/>
      <c r="L75" s="13"/>
      <c r="M75" s="13"/>
      <c r="N75" s="13"/>
      <c r="O75" s="13"/>
      <c r="P75" s="13"/>
    </row>
    <row r="76" spans="11:16" x14ac:dyDescent="0.55000000000000004">
      <c r="K76" s="20"/>
      <c r="L76" s="13"/>
      <c r="M76" s="13"/>
      <c r="N76" s="13"/>
      <c r="O76" s="13"/>
      <c r="P76" s="13"/>
    </row>
    <row r="77" spans="11:16" x14ac:dyDescent="0.55000000000000004">
      <c r="K77" s="20"/>
      <c r="L77" s="13"/>
      <c r="M77" s="13"/>
      <c r="N77" s="13"/>
      <c r="O77" s="13"/>
      <c r="P77" s="13"/>
    </row>
    <row r="78" spans="11:16" x14ac:dyDescent="0.55000000000000004">
      <c r="K78" s="20"/>
      <c r="L78" s="13"/>
      <c r="M78" s="13"/>
      <c r="N78" s="13"/>
      <c r="O78" s="13"/>
      <c r="P78" s="13"/>
    </row>
    <row r="79" spans="11:16" x14ac:dyDescent="0.55000000000000004">
      <c r="K79" s="20"/>
      <c r="L79" s="13"/>
      <c r="M79" s="13"/>
      <c r="N79" s="13"/>
      <c r="O79" s="13"/>
      <c r="P79" s="13"/>
    </row>
    <row r="80" spans="11:16" x14ac:dyDescent="0.55000000000000004">
      <c r="K80" s="20"/>
      <c r="L80" s="13"/>
      <c r="M80" s="13"/>
      <c r="N80" s="13"/>
      <c r="O80" s="13"/>
      <c r="P80" s="13"/>
    </row>
    <row r="81" spans="11:16" x14ac:dyDescent="0.55000000000000004">
      <c r="K81" s="20"/>
      <c r="L81" s="13"/>
      <c r="M81" s="13"/>
      <c r="N81" s="13"/>
      <c r="O81" s="13"/>
      <c r="P81" s="13"/>
    </row>
    <row r="82" spans="11:16" x14ac:dyDescent="0.55000000000000004">
      <c r="K82" s="20"/>
      <c r="L82" s="13"/>
      <c r="M82" s="13"/>
      <c r="N82" s="13"/>
      <c r="O82" s="13"/>
      <c r="P82" s="13"/>
    </row>
    <row r="83" spans="11:16" x14ac:dyDescent="0.55000000000000004">
      <c r="K83" s="20"/>
      <c r="L83" s="13"/>
      <c r="M83" s="13"/>
      <c r="N83" s="13"/>
      <c r="O83" s="13"/>
      <c r="P83" s="13"/>
    </row>
    <row r="84" spans="11:16" x14ac:dyDescent="0.55000000000000004">
      <c r="K84" s="20"/>
      <c r="L84" s="13"/>
      <c r="M84" s="13"/>
      <c r="N84" s="13"/>
      <c r="O84" s="13"/>
      <c r="P84" s="13"/>
    </row>
    <row r="85" spans="11:16" x14ac:dyDescent="0.55000000000000004">
      <c r="K85" s="20"/>
      <c r="L85" s="13"/>
      <c r="M85" s="13"/>
      <c r="N85" s="13"/>
      <c r="O85" s="13"/>
      <c r="P85" s="13"/>
    </row>
    <row r="86" spans="11:16" x14ac:dyDescent="0.55000000000000004">
      <c r="K86" s="20"/>
      <c r="L86" s="13"/>
      <c r="M86" s="13"/>
      <c r="N86" s="13"/>
      <c r="O86" s="13"/>
      <c r="P86" s="13"/>
    </row>
    <row r="87" spans="11:16" x14ac:dyDescent="0.55000000000000004">
      <c r="K87" s="20"/>
      <c r="L87" s="13"/>
      <c r="M87" s="13"/>
      <c r="N87" s="13"/>
      <c r="O87" s="13"/>
      <c r="P87" s="13"/>
    </row>
    <row r="88" spans="11:16" x14ac:dyDescent="0.55000000000000004">
      <c r="K88" s="20"/>
      <c r="L88" s="13"/>
      <c r="M88" s="13"/>
      <c r="N88" s="13"/>
      <c r="O88" s="13"/>
      <c r="P88" s="13"/>
    </row>
    <row r="89" spans="11:16" x14ac:dyDescent="0.55000000000000004">
      <c r="K89" s="20"/>
      <c r="L89" s="13"/>
      <c r="M89" s="13"/>
      <c r="N89" s="13"/>
      <c r="O89" s="13"/>
      <c r="P89" s="13"/>
    </row>
    <row r="90" spans="11:16" x14ac:dyDescent="0.55000000000000004">
      <c r="K90" s="20"/>
      <c r="L90" s="13"/>
      <c r="M90" s="13"/>
      <c r="N90" s="13"/>
      <c r="O90" s="13"/>
      <c r="P90" s="13"/>
    </row>
    <row r="91" spans="11:16" x14ac:dyDescent="0.55000000000000004">
      <c r="K91" s="20"/>
      <c r="L91" s="13"/>
      <c r="M91" s="13"/>
      <c r="N91" s="13"/>
      <c r="O91" s="13"/>
      <c r="P91" s="13"/>
    </row>
    <row r="92" spans="11:16" x14ac:dyDescent="0.55000000000000004">
      <c r="K92" s="20"/>
      <c r="L92" s="13"/>
      <c r="M92" s="13"/>
      <c r="N92" s="13"/>
      <c r="O92" s="13"/>
      <c r="P92" s="13"/>
    </row>
    <row r="93" spans="11:16" x14ac:dyDescent="0.55000000000000004">
      <c r="K93" s="20"/>
      <c r="L93" s="13"/>
      <c r="M93" s="13"/>
      <c r="N93" s="13"/>
      <c r="O93" s="13"/>
      <c r="P93" s="13"/>
    </row>
    <row r="94" spans="11:16" x14ac:dyDescent="0.55000000000000004">
      <c r="K94" s="20"/>
      <c r="L94" s="13"/>
      <c r="M94" s="13"/>
      <c r="N94" s="13"/>
      <c r="O94" s="13"/>
      <c r="P94" s="13"/>
    </row>
    <row r="95" spans="11:16" x14ac:dyDescent="0.55000000000000004">
      <c r="K95" s="20"/>
      <c r="L95" s="13"/>
      <c r="M95" s="13"/>
      <c r="N95" s="13"/>
      <c r="O95" s="13"/>
      <c r="P95" s="13"/>
    </row>
    <row r="96" spans="11:16" x14ac:dyDescent="0.55000000000000004">
      <c r="K96" s="20"/>
      <c r="L96" s="13"/>
      <c r="M96" s="13"/>
      <c r="N96" s="13"/>
      <c r="O96" s="13"/>
      <c r="P96" s="13"/>
    </row>
    <row r="97" spans="11:16" x14ac:dyDescent="0.55000000000000004">
      <c r="K97" s="20"/>
      <c r="L97" s="13"/>
      <c r="M97" s="13"/>
      <c r="N97" s="13"/>
      <c r="O97" s="13"/>
      <c r="P97" s="13"/>
    </row>
    <row r="98" spans="11:16" x14ac:dyDescent="0.55000000000000004">
      <c r="K98" s="20"/>
      <c r="L98" s="13"/>
      <c r="M98" s="13"/>
      <c r="N98" s="13"/>
      <c r="O98" s="13"/>
      <c r="P98" s="13"/>
    </row>
    <row r="99" spans="11:16" x14ac:dyDescent="0.55000000000000004">
      <c r="K99" s="20"/>
      <c r="L99" s="13"/>
      <c r="M99" s="13"/>
      <c r="N99" s="13"/>
      <c r="O99" s="13"/>
      <c r="P99" s="13"/>
    </row>
    <row r="100" spans="11:16" x14ac:dyDescent="0.55000000000000004">
      <c r="K100" s="20"/>
      <c r="L100" s="13"/>
      <c r="M100" s="13"/>
      <c r="N100" s="13"/>
      <c r="O100" s="13"/>
      <c r="P100" s="13"/>
    </row>
    <row r="101" spans="11:16" x14ac:dyDescent="0.55000000000000004">
      <c r="K101" s="20"/>
      <c r="L101" s="13"/>
      <c r="M101" s="13"/>
      <c r="N101" s="13"/>
      <c r="O101" s="13"/>
      <c r="P101" s="13"/>
    </row>
    <row r="102" spans="11:16" x14ac:dyDescent="0.55000000000000004">
      <c r="K102" s="20"/>
      <c r="L102" s="13"/>
      <c r="M102" s="13"/>
      <c r="N102" s="13"/>
      <c r="O102" s="13"/>
      <c r="P102" s="13"/>
    </row>
    <row r="103" spans="11:16" x14ac:dyDescent="0.55000000000000004">
      <c r="K103" s="20"/>
      <c r="L103" s="13"/>
      <c r="M103" s="13"/>
      <c r="N103" s="13"/>
      <c r="O103" s="13"/>
      <c r="P103" s="13"/>
    </row>
    <row r="104" spans="11:16" x14ac:dyDescent="0.55000000000000004">
      <c r="K104" s="20"/>
      <c r="L104" s="13"/>
      <c r="M104" s="13"/>
      <c r="N104" s="13"/>
      <c r="O104" s="13"/>
      <c r="P104" s="13"/>
    </row>
    <row r="105" spans="11:16" x14ac:dyDescent="0.55000000000000004">
      <c r="K105" s="20"/>
      <c r="L105" s="13"/>
      <c r="M105" s="13"/>
      <c r="N105" s="13"/>
      <c r="O105" s="13"/>
      <c r="P105" s="13"/>
    </row>
    <row r="106" spans="11:16" x14ac:dyDescent="0.55000000000000004">
      <c r="K106" s="20"/>
      <c r="L106" s="13"/>
      <c r="M106" s="13"/>
      <c r="N106" s="13"/>
      <c r="O106" s="13"/>
      <c r="P106" s="13"/>
    </row>
    <row r="107" spans="11:16" x14ac:dyDescent="0.55000000000000004">
      <c r="K107" s="20"/>
      <c r="L107" s="13"/>
      <c r="M107" s="13"/>
      <c r="N107" s="13"/>
      <c r="O107" s="13"/>
      <c r="P107" s="13"/>
    </row>
    <row r="108" spans="11:16" x14ac:dyDescent="0.55000000000000004">
      <c r="K108" s="20"/>
      <c r="L108" s="13"/>
      <c r="M108" s="13"/>
      <c r="N108" s="13"/>
      <c r="O108" s="13"/>
      <c r="P108" s="13"/>
    </row>
    <row r="109" spans="11:16" x14ac:dyDescent="0.55000000000000004">
      <c r="K109" s="20"/>
      <c r="L109" s="13"/>
      <c r="M109" s="13"/>
      <c r="N109" s="13"/>
      <c r="O109" s="13"/>
      <c r="P109" s="13"/>
    </row>
    <row r="110" spans="11:16" x14ac:dyDescent="0.55000000000000004">
      <c r="K110" s="20"/>
      <c r="L110" s="13"/>
      <c r="M110" s="13"/>
      <c r="N110" s="13"/>
      <c r="O110" s="13"/>
      <c r="P110" s="13"/>
    </row>
    <row r="111" spans="11:16" x14ac:dyDescent="0.55000000000000004">
      <c r="K111" s="20"/>
      <c r="L111" s="13"/>
      <c r="M111" s="13"/>
      <c r="N111" s="13"/>
      <c r="O111" s="13"/>
      <c r="P111" s="13"/>
    </row>
    <row r="112" spans="11:16" x14ac:dyDescent="0.55000000000000004">
      <c r="K112" s="20"/>
      <c r="L112" s="13"/>
      <c r="M112" s="13"/>
      <c r="N112" s="13"/>
      <c r="O112" s="13"/>
      <c r="P112" s="13"/>
    </row>
    <row r="113" spans="11:16" x14ac:dyDescent="0.55000000000000004">
      <c r="K113" s="20"/>
      <c r="L113" s="13"/>
      <c r="M113" s="13"/>
      <c r="N113" s="13"/>
      <c r="O113" s="13"/>
      <c r="P113" s="13"/>
    </row>
    <row r="114" spans="11:16" x14ac:dyDescent="0.55000000000000004">
      <c r="K114" s="20"/>
      <c r="L114" s="13"/>
      <c r="M114" s="13"/>
      <c r="N114" s="13"/>
      <c r="O114" s="13"/>
      <c r="P114" s="13"/>
    </row>
    <row r="115" spans="11:16" x14ac:dyDescent="0.55000000000000004">
      <c r="K115" s="20"/>
      <c r="L115" s="13"/>
      <c r="M115" s="13"/>
      <c r="N115" s="13"/>
      <c r="O115" s="13"/>
      <c r="P115" s="13"/>
    </row>
    <row r="116" spans="11:16" x14ac:dyDescent="0.55000000000000004">
      <c r="K116" s="20"/>
      <c r="L116" s="13"/>
      <c r="M116" s="13"/>
      <c r="N116" s="13"/>
      <c r="O116" s="13"/>
      <c r="P116" s="13"/>
    </row>
    <row r="117" spans="11:16" x14ac:dyDescent="0.55000000000000004">
      <c r="K117" s="20"/>
      <c r="L117" s="13"/>
      <c r="M117" s="13"/>
      <c r="N117" s="13"/>
      <c r="O117" s="13"/>
      <c r="P117" s="13"/>
    </row>
    <row r="118" spans="11:16" x14ac:dyDescent="0.55000000000000004">
      <c r="K118" s="20"/>
      <c r="L118" s="13"/>
      <c r="M118" s="13"/>
      <c r="N118" s="13"/>
      <c r="O118" s="13"/>
      <c r="P118" s="13"/>
    </row>
    <row r="119" spans="11:16" x14ac:dyDescent="0.55000000000000004">
      <c r="K119" s="20"/>
      <c r="L119" s="13"/>
      <c r="M119" s="13"/>
      <c r="N119" s="13"/>
      <c r="O119" s="13"/>
      <c r="P119" s="13"/>
    </row>
    <row r="120" spans="11:16" x14ac:dyDescent="0.55000000000000004">
      <c r="K120" s="20"/>
      <c r="L120" s="13"/>
      <c r="M120" s="13"/>
      <c r="N120" s="13"/>
      <c r="O120" s="13"/>
      <c r="P120" s="13"/>
    </row>
    <row r="121" spans="11:16" x14ac:dyDescent="0.55000000000000004">
      <c r="K121" s="20"/>
      <c r="L121" s="13"/>
      <c r="M121" s="13"/>
      <c r="N121" s="13"/>
      <c r="O121" s="13"/>
      <c r="P121" s="13"/>
    </row>
    <row r="122" spans="11:16" x14ac:dyDescent="0.55000000000000004">
      <c r="K122" s="20"/>
      <c r="L122" s="13"/>
      <c r="M122" s="13"/>
      <c r="N122" s="13"/>
      <c r="O122" s="13"/>
      <c r="P122" s="13"/>
    </row>
    <row r="123" spans="11:16" x14ac:dyDescent="0.55000000000000004">
      <c r="K123" s="20"/>
      <c r="L123" s="13"/>
      <c r="M123" s="13"/>
      <c r="N123" s="13"/>
      <c r="O123" s="13"/>
      <c r="P123" s="13"/>
    </row>
    <row r="124" spans="11:16" x14ac:dyDescent="0.55000000000000004">
      <c r="K124" s="20"/>
      <c r="L124" s="13"/>
      <c r="M124" s="13"/>
      <c r="N124" s="13"/>
      <c r="O124" s="13"/>
      <c r="P124" s="13"/>
    </row>
    <row r="125" spans="11:16" x14ac:dyDescent="0.55000000000000004">
      <c r="K125" s="20"/>
      <c r="L125" s="13"/>
      <c r="M125" s="13"/>
      <c r="N125" s="13"/>
      <c r="O125" s="13"/>
      <c r="P125" s="13"/>
    </row>
    <row r="126" spans="11:16" x14ac:dyDescent="0.55000000000000004">
      <c r="K126" s="20"/>
      <c r="L126" s="13"/>
      <c r="M126" s="13"/>
      <c r="N126" s="13"/>
      <c r="O126" s="13"/>
      <c r="P126" s="13"/>
    </row>
    <row r="127" spans="11:16" x14ac:dyDescent="0.55000000000000004">
      <c r="K127" s="20"/>
      <c r="L127" s="13"/>
      <c r="M127" s="13"/>
      <c r="N127" s="13"/>
      <c r="O127" s="13"/>
      <c r="P127" s="13"/>
    </row>
    <row r="128" spans="11:16" x14ac:dyDescent="0.55000000000000004">
      <c r="K128" s="20"/>
      <c r="L128" s="13"/>
      <c r="M128" s="13"/>
      <c r="N128" s="13"/>
      <c r="O128" s="13"/>
      <c r="P128" s="13"/>
    </row>
    <row r="129" spans="11:16" x14ac:dyDescent="0.55000000000000004">
      <c r="K129" s="20"/>
      <c r="L129" s="13"/>
      <c r="M129" s="13"/>
      <c r="N129" s="13"/>
      <c r="O129" s="13"/>
      <c r="P129" s="13"/>
    </row>
    <row r="130" spans="11:16" x14ac:dyDescent="0.55000000000000004">
      <c r="K130" s="20"/>
      <c r="L130" s="13"/>
      <c r="M130" s="13"/>
      <c r="N130" s="13"/>
      <c r="O130" s="13"/>
      <c r="P130" s="13"/>
    </row>
    <row r="131" spans="11:16" x14ac:dyDescent="0.55000000000000004">
      <c r="K131" s="20"/>
      <c r="L131" s="13"/>
      <c r="M131" s="13"/>
      <c r="N131" s="13"/>
      <c r="O131" s="13"/>
      <c r="P131" s="13"/>
    </row>
    <row r="132" spans="11:16" x14ac:dyDescent="0.55000000000000004">
      <c r="K132" s="20"/>
      <c r="L132" s="13"/>
      <c r="M132" s="13"/>
      <c r="N132" s="13"/>
      <c r="O132" s="13"/>
      <c r="P132" s="13"/>
    </row>
    <row r="133" spans="11:16" x14ac:dyDescent="0.55000000000000004">
      <c r="K133" s="20"/>
      <c r="L133" s="13"/>
      <c r="M133" s="13"/>
      <c r="N133" s="13"/>
      <c r="O133" s="13"/>
      <c r="P133" s="13"/>
    </row>
    <row r="134" spans="11:16" x14ac:dyDescent="0.55000000000000004">
      <c r="K134" s="20"/>
      <c r="L134" s="13"/>
      <c r="M134" s="13"/>
      <c r="N134" s="13"/>
      <c r="O134" s="13"/>
      <c r="P134" s="13"/>
    </row>
    <row r="135" spans="11:16" x14ac:dyDescent="0.55000000000000004">
      <c r="K135" s="20"/>
      <c r="L135" s="13"/>
      <c r="M135" s="13"/>
      <c r="N135" s="13"/>
      <c r="O135" s="13"/>
      <c r="P135" s="13"/>
    </row>
    <row r="136" spans="11:16" x14ac:dyDescent="0.55000000000000004">
      <c r="K136" s="20"/>
      <c r="L136" s="13"/>
      <c r="M136" s="13"/>
      <c r="N136" s="13"/>
      <c r="O136" s="13"/>
      <c r="P136" s="13"/>
    </row>
    <row r="137" spans="11:16" x14ac:dyDescent="0.55000000000000004">
      <c r="K137" s="20"/>
      <c r="L137" s="13"/>
      <c r="M137" s="13"/>
      <c r="N137" s="13"/>
      <c r="O137" s="13"/>
      <c r="P137" s="13"/>
    </row>
    <row r="138" spans="11:16" x14ac:dyDescent="0.55000000000000004">
      <c r="K138" s="20"/>
      <c r="L138" s="13"/>
      <c r="M138" s="13"/>
      <c r="N138" s="13"/>
      <c r="O138" s="13"/>
      <c r="P138" s="13"/>
    </row>
    <row r="139" spans="11:16" x14ac:dyDescent="0.55000000000000004">
      <c r="K139" s="20"/>
      <c r="L139" s="13"/>
      <c r="M139" s="13"/>
      <c r="N139" s="13"/>
      <c r="O139" s="13"/>
      <c r="P139" s="13"/>
    </row>
    <row r="140" spans="11:16" x14ac:dyDescent="0.55000000000000004">
      <c r="K140" s="20"/>
      <c r="L140" s="13"/>
      <c r="M140" s="13"/>
      <c r="N140" s="13"/>
      <c r="O140" s="13"/>
      <c r="P140" s="13"/>
    </row>
    <row r="141" spans="11:16" x14ac:dyDescent="0.55000000000000004">
      <c r="K141" s="20"/>
      <c r="L141" s="13"/>
      <c r="M141" s="13"/>
      <c r="N141" s="13"/>
      <c r="O141" s="13"/>
      <c r="P141" s="13"/>
    </row>
    <row r="142" spans="11:16" x14ac:dyDescent="0.55000000000000004">
      <c r="K142" s="20"/>
      <c r="L142" s="13"/>
      <c r="M142" s="13"/>
      <c r="N142" s="13"/>
      <c r="O142" s="13"/>
      <c r="P142" s="13"/>
    </row>
    <row r="143" spans="11:16" x14ac:dyDescent="0.55000000000000004">
      <c r="K143" s="20"/>
      <c r="L143" s="13"/>
      <c r="M143" s="13"/>
      <c r="N143" s="13"/>
      <c r="O143" s="13"/>
      <c r="P143" s="13"/>
    </row>
    <row r="144" spans="11:16" x14ac:dyDescent="0.55000000000000004">
      <c r="K144" s="20"/>
      <c r="L144" s="13"/>
      <c r="M144" s="13"/>
      <c r="N144" s="13"/>
      <c r="O144" s="13"/>
      <c r="P144" s="13"/>
    </row>
    <row r="145" spans="11:16" x14ac:dyDescent="0.55000000000000004">
      <c r="K145" s="20"/>
      <c r="L145" s="13"/>
      <c r="M145" s="13"/>
      <c r="N145" s="13"/>
      <c r="O145" s="13"/>
      <c r="P145" s="13"/>
    </row>
    <row r="146" spans="11:16" x14ac:dyDescent="0.55000000000000004">
      <c r="K146" s="20"/>
      <c r="L146" s="13"/>
      <c r="M146" s="13"/>
      <c r="N146" s="13"/>
      <c r="O146" s="13"/>
      <c r="P146" s="13"/>
    </row>
    <row r="147" spans="11:16" x14ac:dyDescent="0.55000000000000004">
      <c r="K147" s="20"/>
      <c r="L147" s="13"/>
      <c r="M147" s="13"/>
      <c r="N147" s="13"/>
      <c r="O147" s="13"/>
      <c r="P147" s="13"/>
    </row>
    <row r="148" spans="11:16" x14ac:dyDescent="0.55000000000000004">
      <c r="K148" s="20"/>
      <c r="L148" s="13"/>
      <c r="M148" s="13"/>
      <c r="N148" s="13"/>
      <c r="O148" s="13"/>
      <c r="P148" s="13"/>
    </row>
    <row r="149" spans="11:16" x14ac:dyDescent="0.55000000000000004">
      <c r="K149" s="20"/>
      <c r="L149" s="13"/>
      <c r="M149" s="13"/>
      <c r="N149" s="13"/>
      <c r="O149" s="13"/>
      <c r="P149" s="13"/>
    </row>
    <row r="150" spans="11:16" x14ac:dyDescent="0.55000000000000004">
      <c r="K150" s="20"/>
      <c r="L150" s="13"/>
      <c r="M150" s="13"/>
      <c r="N150" s="13"/>
      <c r="O150" s="13"/>
      <c r="P150" s="13"/>
    </row>
    <row r="151" spans="11:16" x14ac:dyDescent="0.55000000000000004">
      <c r="K151" s="20"/>
      <c r="L151" s="13"/>
      <c r="M151" s="13"/>
      <c r="N151" s="13"/>
      <c r="O151" s="13"/>
      <c r="P151" s="13"/>
    </row>
    <row r="152" spans="11:16" x14ac:dyDescent="0.55000000000000004">
      <c r="K152" s="20"/>
      <c r="L152" s="13"/>
      <c r="M152" s="13"/>
      <c r="N152" s="13"/>
      <c r="O152" s="13"/>
      <c r="P152" s="13"/>
    </row>
    <row r="153" spans="11:16" x14ac:dyDescent="0.55000000000000004">
      <c r="K153" s="20"/>
      <c r="L153" s="13"/>
      <c r="M153" s="13"/>
      <c r="N153" s="13"/>
      <c r="O153" s="13"/>
      <c r="P153" s="13"/>
    </row>
    <row r="154" spans="11:16" x14ac:dyDescent="0.55000000000000004">
      <c r="K154" s="20"/>
      <c r="L154" s="13"/>
      <c r="M154" s="13"/>
      <c r="N154" s="13"/>
      <c r="O154" s="13"/>
      <c r="P154" s="13"/>
    </row>
    <row r="155" spans="11:16" x14ac:dyDescent="0.55000000000000004">
      <c r="K155" s="20"/>
      <c r="L155" s="13"/>
      <c r="M155" s="13"/>
      <c r="N155" s="13"/>
      <c r="O155" s="13"/>
      <c r="P155" s="13"/>
    </row>
    <row r="156" spans="11:16" x14ac:dyDescent="0.55000000000000004">
      <c r="K156" s="20"/>
      <c r="L156" s="13"/>
      <c r="M156" s="13"/>
      <c r="N156" s="13"/>
      <c r="O156" s="13"/>
      <c r="P156" s="13"/>
    </row>
    <row r="157" spans="11:16" x14ac:dyDescent="0.55000000000000004">
      <c r="K157" s="20"/>
      <c r="L157" s="13"/>
      <c r="M157" s="13"/>
      <c r="N157" s="13"/>
      <c r="O157" s="13"/>
      <c r="P157" s="13"/>
    </row>
    <row r="158" spans="11:16" x14ac:dyDescent="0.55000000000000004">
      <c r="K158" s="20"/>
      <c r="L158" s="13"/>
      <c r="M158" s="13"/>
      <c r="N158" s="13"/>
      <c r="O158" s="13"/>
      <c r="P158" s="13"/>
    </row>
    <row r="159" spans="11:16" x14ac:dyDescent="0.55000000000000004">
      <c r="K159" s="20"/>
      <c r="L159" s="13"/>
      <c r="M159" s="13"/>
      <c r="N159" s="13"/>
      <c r="O159" s="13"/>
      <c r="P159" s="13"/>
    </row>
    <row r="160" spans="11:16" x14ac:dyDescent="0.55000000000000004">
      <c r="K160" s="20"/>
      <c r="L160" s="13"/>
      <c r="M160" s="13"/>
      <c r="N160" s="13"/>
      <c r="O160" s="13"/>
      <c r="P160" s="13"/>
    </row>
    <row r="161" spans="11:16" x14ac:dyDescent="0.55000000000000004">
      <c r="K161" s="20"/>
      <c r="L161" s="13"/>
      <c r="M161" s="13"/>
      <c r="N161" s="13"/>
      <c r="O161" s="13"/>
      <c r="P161" s="13"/>
    </row>
    <row r="162" spans="11:16" x14ac:dyDescent="0.55000000000000004">
      <c r="K162" s="20"/>
      <c r="L162" s="13"/>
      <c r="M162" s="13"/>
      <c r="N162" s="13"/>
      <c r="O162" s="13"/>
      <c r="P162" s="13"/>
    </row>
    <row r="163" spans="11:16" x14ac:dyDescent="0.55000000000000004">
      <c r="K163" s="20"/>
      <c r="L163" s="13"/>
      <c r="M163" s="13"/>
      <c r="N163" s="13"/>
      <c r="O163" s="13"/>
      <c r="P163" s="13"/>
    </row>
    <row r="164" spans="11:16" x14ac:dyDescent="0.55000000000000004">
      <c r="K164" s="20"/>
      <c r="L164" s="13"/>
      <c r="M164" s="13"/>
      <c r="N164" s="13"/>
      <c r="O164" s="13"/>
      <c r="P164" s="13"/>
    </row>
    <row r="165" spans="11:16" x14ac:dyDescent="0.55000000000000004">
      <c r="K165" s="20"/>
      <c r="L165" s="13"/>
      <c r="M165" s="13"/>
      <c r="N165" s="13"/>
      <c r="O165" s="13"/>
      <c r="P165" s="13"/>
    </row>
    <row r="166" spans="11:16" x14ac:dyDescent="0.55000000000000004">
      <c r="K166" s="20"/>
      <c r="L166" s="13"/>
      <c r="M166" s="13"/>
      <c r="N166" s="13"/>
      <c r="O166" s="13"/>
      <c r="P166" s="13"/>
    </row>
    <row r="167" spans="11:16" x14ac:dyDescent="0.55000000000000004">
      <c r="K167" s="20"/>
      <c r="L167" s="13"/>
      <c r="M167" s="13"/>
      <c r="N167" s="13"/>
      <c r="O167" s="13"/>
      <c r="P167" s="13"/>
    </row>
    <row r="168" spans="11:16" x14ac:dyDescent="0.55000000000000004">
      <c r="K168" s="20"/>
      <c r="L168" s="13"/>
      <c r="M168" s="13"/>
      <c r="N168" s="13"/>
      <c r="O168" s="13"/>
      <c r="P168" s="13"/>
    </row>
    <row r="169" spans="11:16" x14ac:dyDescent="0.55000000000000004">
      <c r="K169" s="20"/>
      <c r="L169" s="13"/>
      <c r="M169" s="13"/>
      <c r="N169" s="13"/>
      <c r="O169" s="13"/>
      <c r="P169" s="13"/>
    </row>
    <row r="170" spans="11:16" x14ac:dyDescent="0.55000000000000004">
      <c r="K170" s="20"/>
      <c r="L170" s="13"/>
      <c r="M170" s="13"/>
      <c r="N170" s="13"/>
      <c r="O170" s="13"/>
      <c r="P170" s="13"/>
    </row>
    <row r="171" spans="11:16" x14ac:dyDescent="0.55000000000000004">
      <c r="K171" s="20"/>
      <c r="L171" s="13"/>
      <c r="M171" s="13"/>
      <c r="N171" s="13"/>
      <c r="O171" s="13"/>
      <c r="P171" s="13"/>
    </row>
    <row r="172" spans="11:16" x14ac:dyDescent="0.55000000000000004">
      <c r="K172" s="20"/>
      <c r="L172" s="13"/>
      <c r="M172" s="13"/>
      <c r="N172" s="13"/>
      <c r="O172" s="13"/>
      <c r="P172" s="13"/>
    </row>
    <row r="173" spans="11:16" x14ac:dyDescent="0.55000000000000004">
      <c r="K173" s="20"/>
      <c r="L173" s="13"/>
      <c r="M173" s="13"/>
      <c r="N173" s="13"/>
      <c r="O173" s="13"/>
      <c r="P173" s="13"/>
    </row>
    <row r="174" spans="11:16" x14ac:dyDescent="0.55000000000000004">
      <c r="K174" s="20"/>
      <c r="L174" s="13"/>
      <c r="M174" s="13"/>
      <c r="N174" s="13"/>
      <c r="O174" s="13"/>
      <c r="P174" s="13"/>
    </row>
    <row r="175" spans="11:16" x14ac:dyDescent="0.55000000000000004">
      <c r="K175" s="20"/>
      <c r="L175" s="13"/>
      <c r="M175" s="13"/>
      <c r="N175" s="13"/>
      <c r="O175" s="13"/>
      <c r="P175" s="13"/>
    </row>
    <row r="176" spans="11:16" x14ac:dyDescent="0.55000000000000004">
      <c r="K176" s="20"/>
      <c r="L176" s="13"/>
      <c r="M176" s="13"/>
      <c r="N176" s="13"/>
      <c r="O176" s="13"/>
      <c r="P176" s="13"/>
    </row>
    <row r="177" spans="11:16" x14ac:dyDescent="0.55000000000000004">
      <c r="K177" s="20"/>
      <c r="L177" s="13"/>
      <c r="M177" s="13"/>
      <c r="N177" s="13"/>
      <c r="O177" s="13"/>
      <c r="P177" s="13"/>
    </row>
    <row r="178" spans="11:16" x14ac:dyDescent="0.55000000000000004">
      <c r="K178" s="20"/>
      <c r="L178" s="13"/>
      <c r="M178" s="13"/>
      <c r="N178" s="13"/>
      <c r="O178" s="13"/>
      <c r="P178" s="13"/>
    </row>
    <row r="179" spans="11:16" x14ac:dyDescent="0.55000000000000004">
      <c r="K179" s="20"/>
      <c r="L179" s="13"/>
      <c r="M179" s="13"/>
      <c r="N179" s="13"/>
      <c r="O179" s="13"/>
      <c r="P179" s="13"/>
    </row>
    <row r="180" spans="11:16" x14ac:dyDescent="0.55000000000000004">
      <c r="K180" s="20"/>
      <c r="L180" s="13"/>
      <c r="M180" s="13"/>
      <c r="N180" s="13"/>
      <c r="O180" s="13"/>
      <c r="P18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5A6E-509A-4923-8FB4-B838FD6A049D}">
  <dimension ref="A1:EP167"/>
  <sheetViews>
    <sheetView tabSelected="1" topLeftCell="A10" workbookViewId="0">
      <selection activeCell="B29" sqref="B29"/>
    </sheetView>
  </sheetViews>
  <sheetFormatPr defaultRowHeight="14.4" x14ac:dyDescent="0.55000000000000004"/>
  <cols>
    <col min="1" max="1" width="40.5234375" bestFit="1" customWidth="1"/>
    <col min="2" max="2" width="17.05078125" bestFit="1" customWidth="1"/>
    <col min="3" max="3" width="19.41796875" bestFit="1" customWidth="1"/>
    <col min="5" max="5" width="12.3125" bestFit="1" customWidth="1"/>
    <col min="6" max="6" width="14.3125" bestFit="1" customWidth="1"/>
    <col min="7" max="7" width="21.47265625" bestFit="1" customWidth="1"/>
    <col min="8" max="8" width="14.41796875" bestFit="1" customWidth="1"/>
    <col min="9" max="9" width="8.7890625" bestFit="1" customWidth="1"/>
    <col min="11" max="11" width="21.26171875" bestFit="1" customWidth="1"/>
    <col min="12" max="12" width="34.26171875" bestFit="1" customWidth="1"/>
    <col min="13" max="13" width="13.83984375" bestFit="1" customWidth="1"/>
    <col min="14" max="14" width="10.7890625" bestFit="1" customWidth="1"/>
    <col min="15" max="15" width="15.578125" bestFit="1" customWidth="1"/>
  </cols>
  <sheetData>
    <row r="1" spans="1:19" ht="14.7" thickBot="1" x14ac:dyDescent="0.6">
      <c r="A1" s="1" t="s">
        <v>48</v>
      </c>
      <c r="I1" s="19"/>
      <c r="K1" t="s">
        <v>27</v>
      </c>
    </row>
    <row r="2" spans="1:19" x14ac:dyDescent="0.55000000000000004">
      <c r="A2" s="2" t="s">
        <v>0</v>
      </c>
      <c r="B2" s="3" t="s">
        <v>1</v>
      </c>
      <c r="C2" s="3"/>
      <c r="D2" s="3"/>
      <c r="E2" s="3" t="s">
        <v>21</v>
      </c>
      <c r="F2" s="3" t="s">
        <v>4</v>
      </c>
      <c r="G2" s="3" t="s">
        <v>49</v>
      </c>
      <c r="H2" s="3" t="s">
        <v>6</v>
      </c>
      <c r="I2" s="4" t="s">
        <v>7</v>
      </c>
      <c r="K2" t="s">
        <v>29</v>
      </c>
    </row>
    <row r="3" spans="1:19" x14ac:dyDescent="0.55000000000000004">
      <c r="A3" s="5" t="s">
        <v>8</v>
      </c>
      <c r="B3" s="6">
        <v>116276</v>
      </c>
      <c r="E3">
        <v>50</v>
      </c>
      <c r="F3" s="7">
        <f>E3*B3</f>
        <v>5813800</v>
      </c>
      <c r="G3">
        <v>186722</v>
      </c>
      <c r="H3" s="8">
        <f>G3/(E3*8760)</f>
        <v>0.42630593607305939</v>
      </c>
      <c r="I3" s="9" t="s">
        <v>13</v>
      </c>
      <c r="K3" t="s">
        <v>30</v>
      </c>
    </row>
    <row r="4" spans="1:19" x14ac:dyDescent="0.55000000000000004">
      <c r="A4" s="5" t="s">
        <v>10</v>
      </c>
      <c r="B4" s="6">
        <v>75772</v>
      </c>
      <c r="E4">
        <v>448</v>
      </c>
      <c r="F4" s="7">
        <f>E4*B4</f>
        <v>33945856</v>
      </c>
      <c r="G4">
        <v>264130</v>
      </c>
      <c r="H4" s="8">
        <f>G4/(E4*8760)</f>
        <v>6.7303184116112205E-2</v>
      </c>
      <c r="I4" s="9" t="s">
        <v>9</v>
      </c>
      <c r="K4" t="s">
        <v>31</v>
      </c>
    </row>
    <row r="5" spans="1:19" ht="14.7" thickBot="1" x14ac:dyDescent="0.6">
      <c r="A5" s="5"/>
      <c r="I5" s="9"/>
      <c r="K5" t="s">
        <v>32</v>
      </c>
    </row>
    <row r="6" spans="1:19" x14ac:dyDescent="0.55000000000000004">
      <c r="A6" s="11" t="s">
        <v>14</v>
      </c>
      <c r="B6" t="s">
        <v>50</v>
      </c>
      <c r="C6" t="s">
        <v>15</v>
      </c>
      <c r="E6" t="s">
        <v>3</v>
      </c>
      <c r="F6" s="3" t="s">
        <v>4</v>
      </c>
      <c r="H6" t="s">
        <v>16</v>
      </c>
      <c r="I6" s="4" t="s">
        <v>7</v>
      </c>
      <c r="K6" t="s">
        <v>33</v>
      </c>
    </row>
    <row r="7" spans="1:19" x14ac:dyDescent="0.55000000000000004">
      <c r="A7" s="5" t="s">
        <v>17</v>
      </c>
      <c r="B7" s="12">
        <v>15700</v>
      </c>
      <c r="C7">
        <v>58</v>
      </c>
      <c r="E7">
        <v>1796</v>
      </c>
      <c r="F7" s="7">
        <f>E7*B7</f>
        <v>28197200</v>
      </c>
      <c r="G7" s="7"/>
      <c r="H7">
        <f>E7/60</f>
        <v>29.933333333333334</v>
      </c>
      <c r="I7" s="9" t="s">
        <v>9</v>
      </c>
    </row>
    <row r="8" spans="1:19" ht="14.7" thickBot="1" x14ac:dyDescent="0.6">
      <c r="A8" s="14"/>
      <c r="B8" s="26"/>
      <c r="C8" s="15"/>
      <c r="D8" s="15"/>
      <c r="E8" s="16" t="s">
        <v>24</v>
      </c>
      <c r="F8" s="17">
        <f>SUM(F7,F3:F4)</f>
        <v>67956856</v>
      </c>
      <c r="G8" s="17"/>
      <c r="H8" s="16" t="s">
        <v>25</v>
      </c>
      <c r="I8" s="18">
        <f>F8/I10</f>
        <v>155.47670170156269</v>
      </c>
    </row>
    <row r="9" spans="1:19" x14ac:dyDescent="0.55000000000000004">
      <c r="H9" t="s">
        <v>26</v>
      </c>
      <c r="I9" s="19">
        <f>(E4*'[1]Available Land_Plant Land Use'!$D$13)/1000000</f>
        <v>7.6145717760000009</v>
      </c>
    </row>
    <row r="10" spans="1:19" x14ac:dyDescent="0.55000000000000004">
      <c r="H10" t="s">
        <v>51</v>
      </c>
      <c r="I10">
        <v>437087.06999999972</v>
      </c>
    </row>
    <row r="11" spans="1:19" x14ac:dyDescent="0.55000000000000004">
      <c r="H11" t="s">
        <v>52</v>
      </c>
      <c r="I11">
        <v>361735.36589999998</v>
      </c>
    </row>
    <row r="14" spans="1:19" x14ac:dyDescent="0.55000000000000004">
      <c r="A14" t="s">
        <v>36</v>
      </c>
      <c r="B14">
        <v>2023</v>
      </c>
      <c r="C14">
        <f>B14+1</f>
        <v>2024</v>
      </c>
      <c r="D14">
        <f t="shared" ref="D14:S15" si="0">C14+1</f>
        <v>2025</v>
      </c>
      <c r="E14">
        <f t="shared" si="0"/>
        <v>2026</v>
      </c>
      <c r="F14">
        <f t="shared" si="0"/>
        <v>2027</v>
      </c>
      <c r="G14">
        <f t="shared" si="0"/>
        <v>2028</v>
      </c>
      <c r="H14">
        <f t="shared" si="0"/>
        <v>2029</v>
      </c>
      <c r="I14">
        <f t="shared" si="0"/>
        <v>2030</v>
      </c>
      <c r="J14">
        <f t="shared" si="0"/>
        <v>2031</v>
      </c>
      <c r="K14">
        <f t="shared" si="0"/>
        <v>2032</v>
      </c>
      <c r="L14">
        <f t="shared" si="0"/>
        <v>2033</v>
      </c>
      <c r="M14">
        <f t="shared" si="0"/>
        <v>2034</v>
      </c>
      <c r="N14">
        <f t="shared" si="0"/>
        <v>2035</v>
      </c>
      <c r="O14">
        <f t="shared" si="0"/>
        <v>2036</v>
      </c>
      <c r="P14">
        <f>O14+1</f>
        <v>2037</v>
      </c>
      <c r="Q14">
        <f t="shared" si="0"/>
        <v>2038</v>
      </c>
      <c r="R14">
        <f t="shared" si="0"/>
        <v>2039</v>
      </c>
      <c r="S14">
        <f>R14+1</f>
        <v>2040</v>
      </c>
    </row>
    <row r="15" spans="1:19" x14ac:dyDescent="0.55000000000000004">
      <c r="A15" t="s">
        <v>28</v>
      </c>
      <c r="B15">
        <f>2023-B29</f>
        <v>0</v>
      </c>
      <c r="C15" s="20">
        <f>B15+1</f>
        <v>1</v>
      </c>
      <c r="D15" s="20">
        <f t="shared" si="0"/>
        <v>2</v>
      </c>
      <c r="E15" s="20">
        <f t="shared" si="0"/>
        <v>3</v>
      </c>
      <c r="F15" s="20">
        <f t="shared" si="0"/>
        <v>4</v>
      </c>
      <c r="G15" s="20">
        <f t="shared" si="0"/>
        <v>5</v>
      </c>
      <c r="H15" s="20">
        <f t="shared" si="0"/>
        <v>6</v>
      </c>
      <c r="I15" s="20">
        <f t="shared" si="0"/>
        <v>7</v>
      </c>
      <c r="J15" s="20">
        <f t="shared" si="0"/>
        <v>8</v>
      </c>
      <c r="K15" s="20">
        <f t="shared" si="0"/>
        <v>9</v>
      </c>
      <c r="L15" s="20">
        <f t="shared" si="0"/>
        <v>10</v>
      </c>
      <c r="M15" s="20">
        <f t="shared" si="0"/>
        <v>11</v>
      </c>
      <c r="N15" s="20">
        <f t="shared" si="0"/>
        <v>12</v>
      </c>
      <c r="O15" s="20">
        <f t="shared" si="0"/>
        <v>13</v>
      </c>
      <c r="P15" s="20">
        <f t="shared" si="0"/>
        <v>14</v>
      </c>
      <c r="Q15" s="20">
        <f t="shared" si="0"/>
        <v>15</v>
      </c>
      <c r="R15" s="20">
        <f t="shared" si="0"/>
        <v>16</v>
      </c>
      <c r="S15" s="20">
        <f t="shared" si="0"/>
        <v>17</v>
      </c>
    </row>
    <row r="16" spans="1:19" x14ac:dyDescent="0.55000000000000004">
      <c r="A16" t="s">
        <v>46</v>
      </c>
      <c r="B16" s="13">
        <f>($C$28*$C$27*EXP($C$30*B$15)/($C28+$C$27*(EXP($C$30*B$15)-1)))</f>
        <v>7</v>
      </c>
      <c r="C16" s="13">
        <f t="shared" ref="C16:S16" si="1">($C$28*$C$27*EXP($C$30*C$15)/($C28+$C$27*(EXP($C$30*C$15)-1)))</f>
        <v>10.952001269425741</v>
      </c>
      <c r="D16" s="13">
        <f t="shared" si="1"/>
        <v>17.016910130515143</v>
      </c>
      <c r="E16" s="13">
        <f t="shared" si="1"/>
        <v>26.163239885134708</v>
      </c>
      <c r="F16" s="13">
        <f t="shared" si="1"/>
        <v>39.599593074499936</v>
      </c>
      <c r="G16" s="13">
        <f t="shared" si="1"/>
        <v>58.596707617086679</v>
      </c>
      <c r="H16" s="13">
        <f t="shared" si="1"/>
        <v>84.051278526418997</v>
      </c>
      <c r="I16" s="13">
        <f t="shared" si="1"/>
        <v>115.81001561667841</v>
      </c>
      <c r="J16" s="13">
        <f t="shared" si="1"/>
        <v>152.08747757994163</v>
      </c>
      <c r="K16" s="13">
        <f t="shared" si="1"/>
        <v>189.57603719860032</v>
      </c>
      <c r="L16" s="13">
        <f t="shared" si="1"/>
        <v>224.51168350399894</v>
      </c>
      <c r="M16" s="13">
        <f t="shared" si="1"/>
        <v>254.06873474126564</v>
      </c>
      <c r="N16" s="13">
        <f t="shared" si="1"/>
        <v>277.09800030999543</v>
      </c>
      <c r="O16" s="13">
        <f t="shared" si="1"/>
        <v>293.9160940594611</v>
      </c>
      <c r="P16" s="13">
        <f t="shared" si="1"/>
        <v>305.6261347627314</v>
      </c>
      <c r="Q16" s="13">
        <f t="shared" si="1"/>
        <v>313.51133679740451</v>
      </c>
      <c r="R16" s="13">
        <f t="shared" si="1"/>
        <v>318.7021070780724</v>
      </c>
      <c r="S16" s="13">
        <f t="shared" si="1"/>
        <v>322.06839459325766</v>
      </c>
    </row>
    <row r="17" spans="1:146" x14ac:dyDescent="0.55000000000000004">
      <c r="A17" t="s">
        <v>45</v>
      </c>
      <c r="B17" s="13">
        <f>($B$28*$B$27*EXP($B$30*B$15)/($B$28+$B$27*(EXP($B$30*B$15)-1)))</f>
        <v>2.2000000000000002</v>
      </c>
      <c r="C17" s="13">
        <f t="shared" ref="C17:S17" si="2">($B$28*$B$27*EXP($B$30*C$15)/($B$28+$B$27*(EXP($B$30*C$15)-1)))</f>
        <v>3.448041063771266</v>
      </c>
      <c r="D17" s="13">
        <f t="shared" si="2"/>
        <v>5.3717994282093899</v>
      </c>
      <c r="E17" s="13">
        <f t="shared" si="2"/>
        <v>8.2925111566622753</v>
      </c>
      <c r="F17" s="13">
        <f t="shared" si="2"/>
        <v>12.626327364575415</v>
      </c>
      <c r="G17" s="13">
        <f t="shared" si="2"/>
        <v>18.843021640263668</v>
      </c>
      <c r="H17" s="13">
        <f t="shared" si="2"/>
        <v>27.341164034419045</v>
      </c>
      <c r="I17" s="13">
        <f t="shared" si="2"/>
        <v>38.223721298204268</v>
      </c>
      <c r="J17" s="13">
        <f t="shared" si="2"/>
        <v>51.05132432997366</v>
      </c>
      <c r="K17" s="13">
        <f t="shared" si="2"/>
        <v>64.773959987600847</v>
      </c>
      <c r="L17" s="13">
        <f t="shared" si="2"/>
        <v>78.01173498733985</v>
      </c>
      <c r="M17" s="13">
        <f t="shared" si="2"/>
        <v>89.567220028809444</v>
      </c>
      <c r="N17" s="13">
        <f t="shared" si="2"/>
        <v>98.806503978271536</v>
      </c>
      <c r="O17" s="13">
        <f t="shared" si="2"/>
        <v>105.68895893682435</v>
      </c>
      <c r="P17" s="13">
        <f t="shared" si="2"/>
        <v>110.55013862476072</v>
      </c>
      <c r="Q17" s="13">
        <f t="shared" si="2"/>
        <v>113.8560617505302</v>
      </c>
      <c r="R17" s="13">
        <f t="shared" si="2"/>
        <v>116.04680347373042</v>
      </c>
      <c r="S17" s="13">
        <f t="shared" si="2"/>
        <v>117.47372570079388</v>
      </c>
    </row>
    <row r="18" spans="1:146" x14ac:dyDescent="0.55000000000000004">
      <c r="A18" t="s">
        <v>40</v>
      </c>
      <c r="B18" s="13">
        <f>($D$28*$D$27*EXP($D$30*B$15)/($D$28+$D$27*(EXP($D$30*B$15)-1)))</f>
        <v>1</v>
      </c>
      <c r="C18" s="13">
        <f t="shared" ref="C18:S18" si="3">($D$28*$D$27*EXP($D$30*C$15)/($D$28+$D$27*(EXP($D$30*C$15)-1)))</f>
        <v>1.56578331893986</v>
      </c>
      <c r="D18" s="13">
        <f t="shared" si="3"/>
        <v>2.4357648600285846</v>
      </c>
      <c r="E18" s="13">
        <f t="shared" si="3"/>
        <v>3.7516838213737396</v>
      </c>
      <c r="F18" s="13">
        <f t="shared" si="3"/>
        <v>5.6934289731700041</v>
      </c>
      <c r="G18" s="13">
        <f t="shared" si="3"/>
        <v>8.456397392585151</v>
      </c>
      <c r="H18" s="13">
        <f t="shared" si="3"/>
        <v>12.191266390009483</v>
      </c>
      <c r="I18" s="13">
        <f t="shared" si="3"/>
        <v>16.904468275048341</v>
      </c>
      <c r="J18" s="13">
        <f t="shared" si="3"/>
        <v>22.362101971184007</v>
      </c>
      <c r="K18" s="13">
        <f t="shared" si="3"/>
        <v>28.086420644463143</v>
      </c>
      <c r="L18" s="13">
        <f t="shared" si="3"/>
        <v>33.499940788977931</v>
      </c>
      <c r="M18" s="13">
        <f t="shared" si="3"/>
        <v>38.140791534858629</v>
      </c>
      <c r="N18" s="13">
        <f t="shared" si="3"/>
        <v>41.796006178458718</v>
      </c>
      <c r="O18" s="13">
        <f t="shared" si="3"/>
        <v>44.487449440812796</v>
      </c>
      <c r="P18" s="13">
        <f t="shared" si="3"/>
        <v>46.37255650863478</v>
      </c>
      <c r="Q18" s="13">
        <f t="shared" si="3"/>
        <v>47.647114672734133</v>
      </c>
      <c r="R18" s="13">
        <f t="shared" si="3"/>
        <v>48.488434888506461</v>
      </c>
      <c r="S18" s="13">
        <f t="shared" si="3"/>
        <v>49.035017219531994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</row>
    <row r="19" spans="1:146" x14ac:dyDescent="0.55000000000000004">
      <c r="A19" t="s">
        <v>62</v>
      </c>
      <c r="B19" s="13">
        <f>($E$28*$E$27*EXP($E$30*B$15)/($E$28+$E$27*(EXP($E$30*B$15)-1)))</f>
        <v>1</v>
      </c>
      <c r="C19" s="13">
        <f t="shared" ref="C19:S19" si="4">($E$28*$E$27*EXP($E$30*C$15)/($E$28+$E$27*(EXP($E$30*C$15)-1)))</f>
        <v>1.7974896333721377</v>
      </c>
      <c r="D19" s="13">
        <f t="shared" si="4"/>
        <v>3.196512221104566</v>
      </c>
      <c r="E19" s="13">
        <f t="shared" si="4"/>
        <v>5.5800279019706212</v>
      </c>
      <c r="F19" s="13">
        <f t="shared" si="4"/>
        <v>9.4453096392431313</v>
      </c>
      <c r="G19" s="13">
        <f t="shared" si="4"/>
        <v>15.23833892108177</v>
      </c>
      <c r="H19" s="13">
        <f t="shared" si="4"/>
        <v>22.970027421525209</v>
      </c>
      <c r="I19" s="13">
        <f t="shared" si="4"/>
        <v>31.834646053536815</v>
      </c>
      <c r="J19" s="13">
        <f t="shared" si="4"/>
        <v>40.388943482264175</v>
      </c>
      <c r="K19" s="13">
        <f t="shared" si="4"/>
        <v>47.375467195364628</v>
      </c>
      <c r="L19" s="13">
        <f t="shared" si="4"/>
        <v>52.344767346206318</v>
      </c>
      <c r="M19" s="13">
        <f t="shared" si="4"/>
        <v>55.54209615174824</v>
      </c>
      <c r="N19" s="13">
        <f t="shared" si="4"/>
        <v>57.468591159367854</v>
      </c>
      <c r="O19" s="13">
        <f t="shared" si="4"/>
        <v>58.583774524228751</v>
      </c>
      <c r="P19" s="13">
        <f t="shared" si="4"/>
        <v>59.214392462826467</v>
      </c>
      <c r="Q19" s="13">
        <f t="shared" si="4"/>
        <v>59.566287233577668</v>
      </c>
      <c r="R19" s="13">
        <f t="shared" si="4"/>
        <v>59.761194538361231</v>
      </c>
      <c r="S19" s="13">
        <f t="shared" si="4"/>
        <v>59.868705008182758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</row>
    <row r="20" spans="1:146" x14ac:dyDescent="0.55000000000000004">
      <c r="A20" t="s">
        <v>12</v>
      </c>
      <c r="B20" s="13">
        <f>B22/8760*1.95</f>
        <v>78.484567806751443</v>
      </c>
      <c r="C20" s="13">
        <f t="shared" ref="C20:S20" si="5">C22/8760*1.95</f>
        <v>78.729565543173933</v>
      </c>
      <c r="D20" s="13">
        <f t="shared" si="5"/>
        <v>78.355701836908167</v>
      </c>
      <c r="E20" s="13">
        <f t="shared" si="5"/>
        <v>77.075881111943744</v>
      </c>
      <c r="F20" s="13">
        <f t="shared" si="5"/>
        <v>74.527327815405002</v>
      </c>
      <c r="G20" s="13">
        <f t="shared" si="5"/>
        <v>70.319182191734825</v>
      </c>
      <c r="H20" s="13">
        <f t="shared" si="5"/>
        <v>64.156194555786527</v>
      </c>
      <c r="I20" s="13">
        <f t="shared" si="5"/>
        <v>56.039622259020256</v>
      </c>
      <c r="J20" s="13">
        <f t="shared" si="5"/>
        <v>46.455893273320491</v>
      </c>
      <c r="K20" s="13">
        <f t="shared" si="5"/>
        <v>36.37405889494724</v>
      </c>
      <c r="L20" s="13">
        <f t="shared" si="5"/>
        <v>26.949271397879741</v>
      </c>
      <c r="M20" s="13">
        <f t="shared" si="5"/>
        <v>19.093480413430139</v>
      </c>
      <c r="N20" s="13">
        <f t="shared" si="5"/>
        <v>13.217740860407799</v>
      </c>
      <c r="O20" s="13">
        <f t="shared" si="5"/>
        <v>9.2676559412948354</v>
      </c>
      <c r="P20" s="13">
        <f t="shared" si="5"/>
        <v>6.9235372071157375</v>
      </c>
      <c r="Q20" s="13">
        <f t="shared" si="5"/>
        <v>5.7930558884431047</v>
      </c>
      <c r="R20" s="13">
        <f t="shared" si="5"/>
        <v>5.52270202911492</v>
      </c>
      <c r="S20" s="13">
        <f t="shared" si="5"/>
        <v>5.8370546821411677</v>
      </c>
    </row>
    <row r="21" spans="1:146" x14ac:dyDescent="0.55000000000000004">
      <c r="A21" t="s">
        <v>56</v>
      </c>
      <c r="B21">
        <f>I11</f>
        <v>361735.36589999998</v>
      </c>
      <c r="C21">
        <f>B21+($I$10-$I$11)/($N$14-$B$14)</f>
        <v>368014.67457499995</v>
      </c>
      <c r="D21">
        <f t="shared" ref="D21:S21" si="6">C21+($I$10-$I$11)/($N$14-$B$14)</f>
        <v>374293.98324999993</v>
      </c>
      <c r="E21">
        <f t="shared" si="6"/>
        <v>380573.29192499991</v>
      </c>
      <c r="F21">
        <f t="shared" si="6"/>
        <v>386852.60059999989</v>
      </c>
      <c r="G21">
        <f t="shared" si="6"/>
        <v>393131.90927499987</v>
      </c>
      <c r="H21">
        <f t="shared" si="6"/>
        <v>399411.21794999985</v>
      </c>
      <c r="I21">
        <f t="shared" si="6"/>
        <v>405690.52662499982</v>
      </c>
      <c r="J21">
        <f t="shared" si="6"/>
        <v>411969.8352999998</v>
      </c>
      <c r="K21">
        <f t="shared" si="6"/>
        <v>418249.14397499978</v>
      </c>
      <c r="L21">
        <f t="shared" si="6"/>
        <v>424528.45264999976</v>
      </c>
      <c r="M21">
        <f t="shared" si="6"/>
        <v>430807.76132499974</v>
      </c>
      <c r="N21">
        <f t="shared" si="6"/>
        <v>437087.06999999972</v>
      </c>
      <c r="O21">
        <f t="shared" si="6"/>
        <v>443366.37867499969</v>
      </c>
      <c r="P21">
        <f t="shared" si="6"/>
        <v>449645.68734999967</v>
      </c>
      <c r="Q21">
        <f t="shared" si="6"/>
        <v>455924.99602499965</v>
      </c>
      <c r="R21">
        <f t="shared" si="6"/>
        <v>462204.30469999963</v>
      </c>
      <c r="S21">
        <f t="shared" si="6"/>
        <v>468483.61337499961</v>
      </c>
    </row>
    <row r="22" spans="1:146" x14ac:dyDescent="0.55000000000000004">
      <c r="A22" t="s">
        <v>57</v>
      </c>
      <c r="B22">
        <f>B21-(B16*$B$33+B17*$C$33+B18*$D$33)</f>
        <v>352576.82768571423</v>
      </c>
      <c r="C22">
        <f t="shared" ref="C22:S22" si="7">C21-(C16*$B$33+C17*$C$33+C18*$D$33)</f>
        <v>353677.43290164293</v>
      </c>
      <c r="D22">
        <f t="shared" si="7"/>
        <v>351997.92209811055</v>
      </c>
      <c r="E22">
        <f t="shared" si="7"/>
        <v>346248.57361057808</v>
      </c>
      <c r="F22">
        <f t="shared" si="7"/>
        <v>334799.68803228094</v>
      </c>
      <c r="G22">
        <f t="shared" si="7"/>
        <v>315895.40307671647</v>
      </c>
      <c r="H22">
        <f t="shared" si="7"/>
        <v>288209.36631214875</v>
      </c>
      <c r="I22">
        <f t="shared" si="7"/>
        <v>251747.22614821407</v>
      </c>
      <c r="J22">
        <f t="shared" si="7"/>
        <v>208694.16670476281</v>
      </c>
      <c r="K22">
        <f t="shared" si="7"/>
        <v>163403.46457422452</v>
      </c>
      <c r="L22">
        <f t="shared" si="7"/>
        <v>121064.41920278285</v>
      </c>
      <c r="M22">
        <f t="shared" si="7"/>
        <v>85773.788934178476</v>
      </c>
      <c r="N22">
        <f t="shared" si="7"/>
        <v>59378.158942139649</v>
      </c>
      <c r="O22">
        <f t="shared" si="7"/>
        <v>41633.16207473987</v>
      </c>
      <c r="P22">
        <f t="shared" si="7"/>
        <v>31102.659453504544</v>
      </c>
      <c r="Q22">
        <f t="shared" si="7"/>
        <v>26024.189529621333</v>
      </c>
      <c r="R22">
        <f t="shared" si="7"/>
        <v>24809.676807716256</v>
      </c>
      <c r="S22">
        <f t="shared" si="7"/>
        <v>26221.8456490034</v>
      </c>
    </row>
    <row r="23" spans="1:146" x14ac:dyDescent="0.55000000000000004">
      <c r="A23" t="s">
        <v>58</v>
      </c>
      <c r="B23" s="27">
        <f>(B21-B22)/B21</f>
        <v>2.5318337872492058E-2</v>
      </c>
      <c r="C23" s="27">
        <f t="shared" ref="C23:S23" si="8">(C21-C22)/C21</f>
        <v>3.8958342326740981E-2</v>
      </c>
      <c r="D23" s="27">
        <f t="shared" si="8"/>
        <v>5.9568313009715976E-2</v>
      </c>
      <c r="E23" s="27">
        <f t="shared" si="8"/>
        <v>9.0192136554832769E-2</v>
      </c>
      <c r="F23" s="27">
        <f t="shared" si="8"/>
        <v>0.13455489891236616</v>
      </c>
      <c r="G23" s="27">
        <f t="shared" si="8"/>
        <v>0.19646460736479079</v>
      </c>
      <c r="H23" s="27">
        <f t="shared" si="8"/>
        <v>0.27841444266037579</v>
      </c>
      <c r="I23" s="27">
        <f t="shared" si="8"/>
        <v>0.37945993404742057</v>
      </c>
      <c r="J23" s="27">
        <f t="shared" si="8"/>
        <v>0.49342367129187986</v>
      </c>
      <c r="K23" s="27">
        <f t="shared" si="8"/>
        <v>0.60931548353870224</v>
      </c>
      <c r="L23" s="27">
        <f t="shared" si="8"/>
        <v>0.71482613604088918</v>
      </c>
      <c r="M23" s="27">
        <f t="shared" si="8"/>
        <v>0.80090008436623528</v>
      </c>
      <c r="N23" s="27">
        <f t="shared" si="8"/>
        <v>0.86415027344062201</v>
      </c>
      <c r="O23" s="27">
        <f t="shared" si="8"/>
        <v>0.90609761119198851</v>
      </c>
      <c r="P23" s="27">
        <f t="shared" si="8"/>
        <v>0.93082851603268124</v>
      </c>
      <c r="Q23" s="27">
        <f t="shared" si="8"/>
        <v>0.94292002027413657</v>
      </c>
      <c r="R23" s="27">
        <f t="shared" si="8"/>
        <v>0.94632313772192289</v>
      </c>
      <c r="S23" s="27">
        <f t="shared" si="8"/>
        <v>0.94402825435003201</v>
      </c>
    </row>
    <row r="24" spans="1:146" x14ac:dyDescent="0.55000000000000004">
      <c r="A24" t="s">
        <v>59</v>
      </c>
      <c r="B24" s="27">
        <f>N23</f>
        <v>0.86415027344062201</v>
      </c>
    </row>
    <row r="25" spans="1:146" x14ac:dyDescent="0.55000000000000004">
      <c r="B25" s="27"/>
    </row>
    <row r="26" spans="1:146" x14ac:dyDescent="0.55000000000000004">
      <c r="A26" s="21" t="s">
        <v>37</v>
      </c>
      <c r="B26" s="23" t="s">
        <v>43</v>
      </c>
      <c r="C26" s="21" t="s">
        <v>44</v>
      </c>
      <c r="D26" s="24" t="s">
        <v>8</v>
      </c>
      <c r="E26" s="21" t="s">
        <v>54</v>
      </c>
    </row>
    <row r="27" spans="1:146" x14ac:dyDescent="0.55000000000000004">
      <c r="A27" s="21" t="s">
        <v>38</v>
      </c>
      <c r="B27" s="23">
        <v>2.2000000000000002</v>
      </c>
      <c r="C27" s="21">
        <v>7</v>
      </c>
      <c r="D27" s="24">
        <v>1</v>
      </c>
      <c r="E27" s="21">
        <v>1</v>
      </c>
    </row>
    <row r="28" spans="1:146" x14ac:dyDescent="0.55000000000000004">
      <c r="A28" s="21" t="s">
        <v>39</v>
      </c>
      <c r="B28" s="23">
        <v>120</v>
      </c>
      <c r="C28" s="21">
        <f>E4-B28</f>
        <v>328</v>
      </c>
      <c r="D28" s="24">
        <f>E3</f>
        <v>50</v>
      </c>
      <c r="E28" s="21">
        <f>E7/H7</f>
        <v>60</v>
      </c>
      <c r="L28" s="13"/>
      <c r="M28" s="13"/>
      <c r="N28" s="13"/>
      <c r="O28" s="13"/>
      <c r="P28" s="13"/>
    </row>
    <row r="29" spans="1:146" x14ac:dyDescent="0.55000000000000004">
      <c r="A29" s="21" t="s">
        <v>35</v>
      </c>
      <c r="B29" s="23">
        <v>2023</v>
      </c>
      <c r="C29" s="21">
        <f>B29</f>
        <v>2023</v>
      </c>
      <c r="D29" s="24">
        <v>2023</v>
      </c>
      <c r="E29" s="21">
        <v>2023</v>
      </c>
      <c r="K29" s="20"/>
      <c r="L29" s="13"/>
      <c r="M29" s="13"/>
      <c r="N29" s="13"/>
      <c r="O29" s="13"/>
      <c r="P29" s="13"/>
    </row>
    <row r="30" spans="1:146" x14ac:dyDescent="0.55000000000000004">
      <c r="A30" s="21" t="s">
        <v>34</v>
      </c>
      <c r="B30" s="23">
        <v>0.46</v>
      </c>
      <c r="C30" s="21">
        <v>0.46</v>
      </c>
      <c r="D30" s="24">
        <v>0.46</v>
      </c>
      <c r="E30" s="21">
        <v>0.6</v>
      </c>
      <c r="K30" s="20"/>
      <c r="L30" s="13"/>
      <c r="M30" s="13"/>
      <c r="N30" s="13"/>
      <c r="O30" s="13"/>
      <c r="P30" s="13"/>
    </row>
    <row r="31" spans="1:146" x14ac:dyDescent="0.55000000000000004">
      <c r="A31" s="21" t="s">
        <v>42</v>
      </c>
      <c r="B31" s="25">
        <f>I17</f>
        <v>38.223721298204268</v>
      </c>
      <c r="C31" s="25">
        <f>I16</f>
        <v>115.81001561667841</v>
      </c>
      <c r="D31" s="25">
        <f>I18</f>
        <v>16.904468275048341</v>
      </c>
      <c r="E31" s="25">
        <f>I19</f>
        <v>31.834646053536815</v>
      </c>
      <c r="K31" s="20"/>
      <c r="L31" s="13"/>
      <c r="M31" s="13"/>
      <c r="N31" s="13"/>
      <c r="O31" s="13"/>
      <c r="P31" s="13"/>
    </row>
    <row r="32" spans="1:146" x14ac:dyDescent="0.55000000000000004">
      <c r="A32" s="21" t="s">
        <v>60</v>
      </c>
      <c r="B32" s="25">
        <f>S17</f>
        <v>117.47372570079388</v>
      </c>
      <c r="C32" s="25">
        <f>S16</f>
        <v>322.06839459325766</v>
      </c>
      <c r="D32" s="25">
        <f>S18</f>
        <v>49.035017219531994</v>
      </c>
      <c r="E32" s="25">
        <f>S19</f>
        <v>59.868705008182758</v>
      </c>
      <c r="K32" s="20"/>
      <c r="L32" s="13"/>
      <c r="M32" s="13"/>
      <c r="N32" s="13"/>
      <c r="O32" s="13"/>
      <c r="P32" s="13"/>
    </row>
    <row r="33" spans="1:15" x14ac:dyDescent="0.55000000000000004">
      <c r="A33" s="21" t="s">
        <v>53</v>
      </c>
      <c r="B33" s="29">
        <f>G4/E4</f>
        <v>589.57589285714289</v>
      </c>
      <c r="C33" s="29">
        <f>B33</f>
        <v>589.57589285714289</v>
      </c>
      <c r="D33" s="29">
        <f>G3/E3</f>
        <v>3734.44</v>
      </c>
      <c r="E33" s="29"/>
      <c r="K33" s="20"/>
      <c r="L33" s="13"/>
      <c r="M33" s="13"/>
      <c r="N33" s="13"/>
      <c r="O33" s="13"/>
    </row>
    <row r="34" spans="1:15" x14ac:dyDescent="0.55000000000000004">
      <c r="K34" s="20"/>
      <c r="L34" s="13"/>
      <c r="M34" s="13"/>
      <c r="N34" s="13"/>
      <c r="O34" s="13"/>
    </row>
    <row r="35" spans="1:15" x14ac:dyDescent="0.55000000000000004">
      <c r="K35" s="20"/>
      <c r="L35" s="13"/>
      <c r="M35" s="13"/>
      <c r="N35" s="13"/>
      <c r="O35" s="13"/>
    </row>
    <row r="36" spans="1:15" x14ac:dyDescent="0.55000000000000004">
      <c r="K36" s="20"/>
      <c r="L36" s="13"/>
      <c r="M36" s="13"/>
      <c r="N36" s="13"/>
      <c r="O36" s="13"/>
    </row>
    <row r="37" spans="1:15" x14ac:dyDescent="0.55000000000000004">
      <c r="K37" s="20"/>
      <c r="L37" s="13"/>
      <c r="M37" s="13"/>
      <c r="N37" s="13"/>
      <c r="O37" s="13"/>
    </row>
    <row r="38" spans="1:15" x14ac:dyDescent="0.55000000000000004">
      <c r="K38" s="20"/>
      <c r="L38" s="13"/>
      <c r="M38" s="13"/>
      <c r="N38" s="13"/>
      <c r="O38" s="13"/>
    </row>
    <row r="39" spans="1:15" x14ac:dyDescent="0.55000000000000004">
      <c r="K39" s="20"/>
      <c r="L39" s="13"/>
      <c r="M39" s="13"/>
      <c r="N39" s="13"/>
      <c r="O39" s="13"/>
    </row>
    <row r="40" spans="1:15" x14ac:dyDescent="0.55000000000000004">
      <c r="K40" s="20"/>
      <c r="L40" s="13"/>
      <c r="M40" s="13"/>
      <c r="N40" s="13"/>
      <c r="O40" s="13"/>
    </row>
    <row r="41" spans="1:15" x14ac:dyDescent="0.55000000000000004">
      <c r="K41" s="20"/>
      <c r="L41" s="13"/>
      <c r="M41" s="13"/>
      <c r="N41" s="13"/>
      <c r="O41" s="13"/>
    </row>
    <row r="42" spans="1:15" x14ac:dyDescent="0.55000000000000004">
      <c r="K42" s="20"/>
      <c r="L42" s="13"/>
      <c r="M42" s="13"/>
      <c r="N42" s="13"/>
      <c r="O42" s="13"/>
    </row>
    <row r="43" spans="1:15" x14ac:dyDescent="0.55000000000000004">
      <c r="K43" s="20"/>
      <c r="L43" s="13"/>
      <c r="M43" s="13"/>
      <c r="N43" s="13"/>
      <c r="O43" s="13"/>
    </row>
    <row r="44" spans="1:15" x14ac:dyDescent="0.55000000000000004">
      <c r="K44" s="20"/>
      <c r="L44" s="13"/>
      <c r="M44" s="13"/>
      <c r="N44" s="13"/>
      <c r="O44" s="13"/>
    </row>
    <row r="45" spans="1:15" x14ac:dyDescent="0.55000000000000004">
      <c r="K45" s="20"/>
      <c r="L45" s="13"/>
      <c r="M45" s="13"/>
      <c r="N45" s="13"/>
      <c r="O45" s="13"/>
    </row>
    <row r="46" spans="1:15" x14ac:dyDescent="0.55000000000000004">
      <c r="K46" s="20"/>
      <c r="L46" s="13"/>
      <c r="M46" s="13"/>
      <c r="N46" s="13"/>
      <c r="O46" s="13"/>
    </row>
    <row r="47" spans="1:15" x14ac:dyDescent="0.55000000000000004">
      <c r="K47" s="20"/>
      <c r="L47" s="13"/>
      <c r="M47" s="13"/>
      <c r="N47" s="13"/>
      <c r="O47" s="13"/>
    </row>
    <row r="48" spans="1:15" x14ac:dyDescent="0.55000000000000004">
      <c r="K48" s="20"/>
      <c r="L48" s="13"/>
      <c r="M48" s="13"/>
      <c r="N48" s="13"/>
      <c r="O48" s="13"/>
    </row>
    <row r="49" spans="11:15" x14ac:dyDescent="0.55000000000000004">
      <c r="K49" s="20"/>
      <c r="L49" s="13"/>
      <c r="M49" s="13"/>
      <c r="N49" s="13"/>
      <c r="O49" s="13"/>
    </row>
    <row r="50" spans="11:15" x14ac:dyDescent="0.55000000000000004">
      <c r="K50" s="20"/>
      <c r="L50" s="13"/>
      <c r="M50" s="13"/>
      <c r="N50" s="13"/>
      <c r="O50" s="13"/>
    </row>
    <row r="51" spans="11:15" x14ac:dyDescent="0.55000000000000004">
      <c r="K51" s="20"/>
      <c r="L51" s="13"/>
      <c r="M51" s="13"/>
      <c r="N51" s="13"/>
      <c r="O51" s="13"/>
    </row>
    <row r="52" spans="11:15" x14ac:dyDescent="0.55000000000000004">
      <c r="K52" s="20"/>
      <c r="L52" s="13"/>
      <c r="M52" s="13"/>
      <c r="N52" s="13"/>
      <c r="O52" s="13"/>
    </row>
    <row r="53" spans="11:15" x14ac:dyDescent="0.55000000000000004">
      <c r="K53" s="20"/>
      <c r="L53" s="13"/>
      <c r="M53" s="13"/>
      <c r="N53" s="13"/>
      <c r="O53" s="13"/>
    </row>
    <row r="54" spans="11:15" x14ac:dyDescent="0.55000000000000004">
      <c r="K54" s="20"/>
      <c r="L54" s="13"/>
      <c r="M54" s="13"/>
      <c r="N54" s="13"/>
      <c r="O54" s="13"/>
    </row>
    <row r="55" spans="11:15" x14ac:dyDescent="0.55000000000000004">
      <c r="K55" s="20"/>
      <c r="L55" s="13"/>
      <c r="M55" s="13"/>
      <c r="N55" s="13"/>
      <c r="O55" s="13"/>
    </row>
    <row r="56" spans="11:15" x14ac:dyDescent="0.55000000000000004">
      <c r="K56" s="20"/>
      <c r="L56" s="13"/>
      <c r="M56" s="13"/>
      <c r="N56" s="13"/>
      <c r="O56" s="13"/>
    </row>
    <row r="57" spans="11:15" x14ac:dyDescent="0.55000000000000004">
      <c r="K57" s="20"/>
      <c r="L57" s="13"/>
      <c r="M57" s="13"/>
      <c r="N57" s="13"/>
      <c r="O57" s="13"/>
    </row>
    <row r="58" spans="11:15" x14ac:dyDescent="0.55000000000000004">
      <c r="K58" s="20"/>
      <c r="L58" s="13"/>
      <c r="M58" s="13"/>
      <c r="N58" s="13"/>
      <c r="O58" s="13"/>
    </row>
    <row r="59" spans="11:15" x14ac:dyDescent="0.55000000000000004">
      <c r="K59" s="20"/>
      <c r="L59" s="13"/>
      <c r="M59" s="13"/>
      <c r="N59" s="13"/>
      <c r="O59" s="13"/>
    </row>
    <row r="60" spans="11:15" x14ac:dyDescent="0.55000000000000004">
      <c r="K60" s="20"/>
      <c r="L60" s="13"/>
      <c r="M60" s="13"/>
      <c r="N60" s="13"/>
      <c r="O60" s="13"/>
    </row>
    <row r="61" spans="11:15" x14ac:dyDescent="0.55000000000000004">
      <c r="K61" s="20"/>
      <c r="L61" s="13"/>
      <c r="M61" s="13"/>
      <c r="N61" s="13"/>
      <c r="O61" s="13"/>
    </row>
    <row r="62" spans="11:15" x14ac:dyDescent="0.55000000000000004">
      <c r="K62" s="20"/>
      <c r="L62" s="13"/>
      <c r="M62" s="13"/>
      <c r="N62" s="13"/>
      <c r="O62" s="13"/>
    </row>
    <row r="63" spans="11:15" x14ac:dyDescent="0.55000000000000004">
      <c r="K63" s="20"/>
      <c r="L63" s="13"/>
      <c r="M63" s="13"/>
      <c r="N63" s="13"/>
      <c r="O63" s="13"/>
    </row>
    <row r="64" spans="11:15" x14ac:dyDescent="0.55000000000000004">
      <c r="K64" s="20"/>
      <c r="L64" s="13"/>
      <c r="M64" s="13"/>
      <c r="N64" s="13"/>
      <c r="O64" s="13"/>
    </row>
    <row r="65" spans="11:15" x14ac:dyDescent="0.55000000000000004">
      <c r="K65" s="20"/>
      <c r="L65" s="13"/>
      <c r="M65" s="13"/>
      <c r="N65" s="13"/>
      <c r="O65" s="13"/>
    </row>
    <row r="66" spans="11:15" x14ac:dyDescent="0.55000000000000004">
      <c r="K66" s="20"/>
      <c r="L66" s="13"/>
      <c r="M66" s="13"/>
      <c r="N66" s="13"/>
      <c r="O66" s="13"/>
    </row>
    <row r="67" spans="11:15" x14ac:dyDescent="0.55000000000000004">
      <c r="K67" s="20"/>
      <c r="L67" s="13"/>
      <c r="M67" s="13"/>
      <c r="N67" s="13"/>
      <c r="O67" s="13"/>
    </row>
    <row r="68" spans="11:15" x14ac:dyDescent="0.55000000000000004">
      <c r="K68" s="20"/>
      <c r="L68" s="13"/>
      <c r="M68" s="13"/>
      <c r="N68" s="13"/>
      <c r="O68" s="13"/>
    </row>
    <row r="69" spans="11:15" x14ac:dyDescent="0.55000000000000004">
      <c r="K69" s="20"/>
      <c r="L69" s="13"/>
      <c r="M69" s="13"/>
      <c r="N69" s="13"/>
      <c r="O69" s="13"/>
    </row>
    <row r="70" spans="11:15" x14ac:dyDescent="0.55000000000000004">
      <c r="K70" s="20"/>
      <c r="L70" s="13"/>
      <c r="M70" s="13"/>
      <c r="N70" s="13"/>
      <c r="O70" s="13"/>
    </row>
    <row r="71" spans="11:15" x14ac:dyDescent="0.55000000000000004">
      <c r="K71" s="20"/>
      <c r="L71" s="13"/>
      <c r="M71" s="13"/>
      <c r="N71" s="13"/>
      <c r="O71" s="13"/>
    </row>
    <row r="72" spans="11:15" x14ac:dyDescent="0.55000000000000004">
      <c r="K72" s="20"/>
      <c r="L72" s="13"/>
      <c r="M72" s="13"/>
      <c r="N72" s="13"/>
      <c r="O72" s="13"/>
    </row>
    <row r="73" spans="11:15" x14ac:dyDescent="0.55000000000000004">
      <c r="K73" s="20"/>
      <c r="L73" s="13"/>
      <c r="M73" s="13"/>
      <c r="N73" s="13"/>
      <c r="O73" s="13"/>
    </row>
    <row r="74" spans="11:15" x14ac:dyDescent="0.55000000000000004">
      <c r="K74" s="20"/>
      <c r="L74" s="13"/>
      <c r="M74" s="13"/>
      <c r="N74" s="13"/>
      <c r="O74" s="13"/>
    </row>
    <row r="75" spans="11:15" x14ac:dyDescent="0.55000000000000004">
      <c r="K75" s="20"/>
      <c r="L75" s="13"/>
      <c r="M75" s="13"/>
      <c r="N75" s="13"/>
      <c r="O75" s="13"/>
    </row>
    <row r="76" spans="11:15" x14ac:dyDescent="0.55000000000000004">
      <c r="K76" s="20"/>
      <c r="L76" s="13"/>
      <c r="M76" s="13"/>
      <c r="N76" s="13"/>
      <c r="O76" s="13"/>
    </row>
    <row r="77" spans="11:15" x14ac:dyDescent="0.55000000000000004">
      <c r="K77" s="20"/>
      <c r="L77" s="13"/>
      <c r="M77" s="13"/>
      <c r="N77" s="13"/>
      <c r="O77" s="13"/>
    </row>
    <row r="78" spans="11:15" x14ac:dyDescent="0.55000000000000004">
      <c r="K78" s="20"/>
      <c r="L78" s="13"/>
      <c r="M78" s="13"/>
      <c r="N78" s="13"/>
      <c r="O78" s="13"/>
    </row>
    <row r="79" spans="11:15" x14ac:dyDescent="0.55000000000000004">
      <c r="K79" s="20"/>
      <c r="L79" s="13"/>
      <c r="M79" s="13"/>
      <c r="N79" s="13"/>
      <c r="O79" s="13"/>
    </row>
    <row r="80" spans="11:15" x14ac:dyDescent="0.55000000000000004">
      <c r="K80" s="20"/>
      <c r="L80" s="13"/>
      <c r="M80" s="13"/>
      <c r="N80" s="13"/>
      <c r="O80" s="13"/>
    </row>
    <row r="81" spans="11:15" x14ac:dyDescent="0.55000000000000004">
      <c r="K81" s="20"/>
      <c r="L81" s="13"/>
      <c r="M81" s="13"/>
      <c r="N81" s="13"/>
      <c r="O81" s="13"/>
    </row>
    <row r="82" spans="11:15" x14ac:dyDescent="0.55000000000000004">
      <c r="K82" s="20"/>
      <c r="L82" s="13"/>
      <c r="M82" s="13"/>
      <c r="N82" s="13"/>
      <c r="O82" s="13"/>
    </row>
    <row r="83" spans="11:15" x14ac:dyDescent="0.55000000000000004">
      <c r="K83" s="20"/>
      <c r="L83" s="13"/>
      <c r="M83" s="13"/>
      <c r="N83" s="13"/>
      <c r="O83" s="13"/>
    </row>
    <row r="84" spans="11:15" x14ac:dyDescent="0.55000000000000004">
      <c r="K84" s="20"/>
      <c r="L84" s="13"/>
      <c r="M84" s="13"/>
      <c r="N84" s="13"/>
      <c r="O84" s="13"/>
    </row>
    <row r="85" spans="11:15" x14ac:dyDescent="0.55000000000000004">
      <c r="K85" s="20"/>
      <c r="L85" s="13"/>
      <c r="M85" s="13"/>
      <c r="N85" s="13"/>
      <c r="O85" s="13"/>
    </row>
    <row r="86" spans="11:15" x14ac:dyDescent="0.55000000000000004">
      <c r="K86" s="20"/>
      <c r="L86" s="13"/>
      <c r="M86" s="13"/>
      <c r="N86" s="13"/>
      <c r="O86" s="13"/>
    </row>
    <row r="87" spans="11:15" x14ac:dyDescent="0.55000000000000004">
      <c r="K87" s="20"/>
      <c r="L87" s="13"/>
      <c r="M87" s="13"/>
      <c r="N87" s="13"/>
      <c r="O87" s="13"/>
    </row>
    <row r="88" spans="11:15" x14ac:dyDescent="0.55000000000000004">
      <c r="K88" s="20"/>
      <c r="L88" s="13"/>
      <c r="M88" s="13"/>
      <c r="N88" s="13"/>
      <c r="O88" s="13"/>
    </row>
    <row r="89" spans="11:15" x14ac:dyDescent="0.55000000000000004">
      <c r="K89" s="20"/>
      <c r="L89" s="13"/>
      <c r="M89" s="13"/>
      <c r="N89" s="13"/>
      <c r="O89" s="13"/>
    </row>
    <row r="90" spans="11:15" x14ac:dyDescent="0.55000000000000004">
      <c r="K90" s="20"/>
      <c r="L90" s="13"/>
      <c r="M90" s="13"/>
      <c r="N90" s="13"/>
      <c r="O90" s="13"/>
    </row>
    <row r="91" spans="11:15" x14ac:dyDescent="0.55000000000000004">
      <c r="K91" s="20"/>
      <c r="L91" s="13"/>
      <c r="M91" s="13"/>
      <c r="N91" s="13"/>
      <c r="O91" s="13"/>
    </row>
    <row r="92" spans="11:15" x14ac:dyDescent="0.55000000000000004">
      <c r="K92" s="20"/>
      <c r="L92" s="13"/>
      <c r="M92" s="13"/>
      <c r="N92" s="13"/>
      <c r="O92" s="13"/>
    </row>
    <row r="93" spans="11:15" x14ac:dyDescent="0.55000000000000004">
      <c r="K93" s="20"/>
      <c r="L93" s="13"/>
      <c r="M93" s="13"/>
      <c r="N93" s="13"/>
      <c r="O93" s="13"/>
    </row>
    <row r="94" spans="11:15" x14ac:dyDescent="0.55000000000000004">
      <c r="K94" s="20"/>
      <c r="L94" s="13"/>
      <c r="M94" s="13"/>
      <c r="N94" s="13"/>
      <c r="O94" s="13"/>
    </row>
    <row r="95" spans="11:15" x14ac:dyDescent="0.55000000000000004">
      <c r="K95" s="20"/>
      <c r="L95" s="13"/>
      <c r="M95" s="13"/>
      <c r="N95" s="13"/>
      <c r="O95" s="13"/>
    </row>
    <row r="96" spans="11:15" x14ac:dyDescent="0.55000000000000004">
      <c r="K96" s="20"/>
      <c r="L96" s="13"/>
      <c r="M96" s="13"/>
      <c r="N96" s="13"/>
      <c r="O96" s="13"/>
    </row>
    <row r="97" spans="11:15" x14ac:dyDescent="0.55000000000000004">
      <c r="K97" s="20"/>
      <c r="L97" s="13"/>
      <c r="M97" s="13"/>
      <c r="N97" s="13"/>
      <c r="O97" s="13"/>
    </row>
    <row r="98" spans="11:15" x14ac:dyDescent="0.55000000000000004">
      <c r="K98" s="20"/>
      <c r="L98" s="13"/>
      <c r="M98" s="13"/>
      <c r="N98" s="13"/>
      <c r="O98" s="13"/>
    </row>
    <row r="99" spans="11:15" x14ac:dyDescent="0.55000000000000004">
      <c r="K99" s="20"/>
      <c r="L99" s="13"/>
      <c r="M99" s="13"/>
      <c r="N99" s="13"/>
      <c r="O99" s="13"/>
    </row>
    <row r="100" spans="11:15" x14ac:dyDescent="0.55000000000000004">
      <c r="K100" s="20"/>
      <c r="L100" s="13"/>
      <c r="M100" s="13"/>
      <c r="N100" s="13"/>
      <c r="O100" s="13"/>
    </row>
    <row r="101" spans="11:15" x14ac:dyDescent="0.55000000000000004">
      <c r="K101" s="20"/>
      <c r="L101" s="13"/>
      <c r="M101" s="13"/>
      <c r="N101" s="13"/>
      <c r="O101" s="13"/>
    </row>
    <row r="102" spans="11:15" x14ac:dyDescent="0.55000000000000004">
      <c r="K102" s="20"/>
      <c r="L102" s="13"/>
      <c r="M102" s="13"/>
      <c r="N102" s="13"/>
      <c r="O102" s="13"/>
    </row>
    <row r="103" spans="11:15" x14ac:dyDescent="0.55000000000000004">
      <c r="K103" s="20"/>
      <c r="L103" s="13"/>
      <c r="M103" s="13"/>
      <c r="N103" s="13"/>
      <c r="O103" s="13"/>
    </row>
    <row r="104" spans="11:15" x14ac:dyDescent="0.55000000000000004">
      <c r="K104" s="20"/>
      <c r="L104" s="13"/>
      <c r="M104" s="13"/>
      <c r="N104" s="13"/>
      <c r="O104" s="13"/>
    </row>
    <row r="105" spans="11:15" x14ac:dyDescent="0.55000000000000004">
      <c r="K105" s="20"/>
      <c r="L105" s="13"/>
      <c r="M105" s="13"/>
      <c r="N105" s="13"/>
      <c r="O105" s="13"/>
    </row>
    <row r="106" spans="11:15" x14ac:dyDescent="0.55000000000000004">
      <c r="K106" s="20"/>
      <c r="L106" s="13"/>
      <c r="M106" s="13"/>
      <c r="N106" s="13"/>
      <c r="O106" s="13"/>
    </row>
    <row r="107" spans="11:15" x14ac:dyDescent="0.55000000000000004">
      <c r="K107" s="20"/>
      <c r="L107" s="13"/>
      <c r="M107" s="13"/>
      <c r="N107" s="13"/>
      <c r="O107" s="13"/>
    </row>
    <row r="108" spans="11:15" x14ac:dyDescent="0.55000000000000004">
      <c r="K108" s="20"/>
      <c r="L108" s="13"/>
      <c r="M108" s="13"/>
      <c r="N108" s="13"/>
      <c r="O108" s="13"/>
    </row>
    <row r="109" spans="11:15" x14ac:dyDescent="0.55000000000000004">
      <c r="K109" s="20"/>
      <c r="L109" s="13"/>
      <c r="M109" s="13"/>
      <c r="N109" s="13"/>
      <c r="O109" s="13"/>
    </row>
    <row r="110" spans="11:15" x14ac:dyDescent="0.55000000000000004">
      <c r="K110" s="20"/>
      <c r="L110" s="13"/>
      <c r="M110" s="13"/>
      <c r="N110" s="13"/>
      <c r="O110" s="13"/>
    </row>
    <row r="111" spans="11:15" x14ac:dyDescent="0.55000000000000004">
      <c r="K111" s="20"/>
      <c r="L111" s="13"/>
      <c r="M111" s="13"/>
      <c r="N111" s="13"/>
      <c r="O111" s="13"/>
    </row>
    <row r="112" spans="11:15" x14ac:dyDescent="0.55000000000000004">
      <c r="K112" s="20"/>
      <c r="L112" s="13"/>
      <c r="M112" s="13"/>
      <c r="N112" s="13"/>
      <c r="O112" s="13"/>
    </row>
    <row r="113" spans="11:15" x14ac:dyDescent="0.55000000000000004">
      <c r="K113" s="20"/>
      <c r="L113" s="13"/>
      <c r="M113" s="13"/>
      <c r="N113" s="13"/>
      <c r="O113" s="13"/>
    </row>
    <row r="114" spans="11:15" x14ac:dyDescent="0.55000000000000004">
      <c r="K114" s="20"/>
      <c r="L114" s="13"/>
      <c r="M114" s="13"/>
      <c r="N114" s="13"/>
      <c r="O114" s="13"/>
    </row>
    <row r="115" spans="11:15" x14ac:dyDescent="0.55000000000000004">
      <c r="K115" s="20"/>
      <c r="L115" s="13"/>
      <c r="M115" s="13"/>
      <c r="N115" s="13"/>
      <c r="O115" s="13"/>
    </row>
    <row r="116" spans="11:15" x14ac:dyDescent="0.55000000000000004">
      <c r="K116" s="20"/>
      <c r="L116" s="13"/>
      <c r="M116" s="13"/>
      <c r="N116" s="13"/>
      <c r="O116" s="13"/>
    </row>
    <row r="117" spans="11:15" x14ac:dyDescent="0.55000000000000004">
      <c r="K117" s="20"/>
      <c r="L117" s="13"/>
      <c r="M117" s="13"/>
      <c r="N117" s="13"/>
      <c r="O117" s="13"/>
    </row>
    <row r="118" spans="11:15" x14ac:dyDescent="0.55000000000000004">
      <c r="K118" s="20"/>
      <c r="L118" s="13"/>
      <c r="M118" s="13"/>
      <c r="N118" s="13"/>
      <c r="O118" s="13"/>
    </row>
    <row r="119" spans="11:15" x14ac:dyDescent="0.55000000000000004">
      <c r="K119" s="20"/>
      <c r="L119" s="13"/>
      <c r="M119" s="13"/>
      <c r="N119" s="13"/>
      <c r="O119" s="13"/>
    </row>
    <row r="120" spans="11:15" x14ac:dyDescent="0.55000000000000004">
      <c r="K120" s="20"/>
      <c r="L120" s="13"/>
      <c r="M120" s="13"/>
      <c r="N120" s="13"/>
      <c r="O120" s="13"/>
    </row>
    <row r="121" spans="11:15" x14ac:dyDescent="0.55000000000000004">
      <c r="K121" s="20"/>
      <c r="L121" s="13"/>
      <c r="M121" s="13"/>
      <c r="N121" s="13"/>
      <c r="O121" s="13"/>
    </row>
    <row r="122" spans="11:15" x14ac:dyDescent="0.55000000000000004">
      <c r="K122" s="20"/>
      <c r="L122" s="13"/>
      <c r="M122" s="13"/>
      <c r="N122" s="13"/>
      <c r="O122" s="13"/>
    </row>
    <row r="123" spans="11:15" x14ac:dyDescent="0.55000000000000004">
      <c r="K123" s="20"/>
      <c r="L123" s="13"/>
      <c r="M123" s="13"/>
      <c r="N123" s="13"/>
      <c r="O123" s="13"/>
    </row>
    <row r="124" spans="11:15" x14ac:dyDescent="0.55000000000000004">
      <c r="K124" s="20"/>
      <c r="L124" s="13"/>
      <c r="M124" s="13"/>
      <c r="N124" s="13"/>
      <c r="O124" s="13"/>
    </row>
    <row r="125" spans="11:15" x14ac:dyDescent="0.55000000000000004">
      <c r="K125" s="20"/>
      <c r="L125" s="13"/>
      <c r="M125" s="13"/>
      <c r="N125" s="13"/>
      <c r="O125" s="13"/>
    </row>
    <row r="126" spans="11:15" x14ac:dyDescent="0.55000000000000004">
      <c r="K126" s="20"/>
      <c r="L126" s="13"/>
      <c r="M126" s="13"/>
      <c r="N126" s="13"/>
      <c r="O126" s="13"/>
    </row>
    <row r="127" spans="11:15" x14ac:dyDescent="0.55000000000000004">
      <c r="K127" s="20"/>
      <c r="L127" s="13"/>
      <c r="M127" s="13"/>
      <c r="N127" s="13"/>
      <c r="O127" s="13"/>
    </row>
    <row r="128" spans="11:15" x14ac:dyDescent="0.55000000000000004">
      <c r="K128" s="20"/>
      <c r="L128" s="13"/>
      <c r="M128" s="13"/>
      <c r="N128" s="13"/>
      <c r="O128" s="13"/>
    </row>
    <row r="129" spans="11:15" x14ac:dyDescent="0.55000000000000004">
      <c r="K129" s="20"/>
      <c r="L129" s="13"/>
      <c r="M129" s="13"/>
      <c r="N129" s="13"/>
      <c r="O129" s="13"/>
    </row>
    <row r="130" spans="11:15" x14ac:dyDescent="0.55000000000000004">
      <c r="K130" s="20"/>
      <c r="L130" s="13"/>
      <c r="M130" s="13"/>
      <c r="N130" s="13"/>
      <c r="O130" s="13"/>
    </row>
    <row r="131" spans="11:15" x14ac:dyDescent="0.55000000000000004">
      <c r="K131" s="20"/>
      <c r="L131" s="13"/>
      <c r="M131" s="13"/>
      <c r="N131" s="13"/>
      <c r="O131" s="13"/>
    </row>
    <row r="132" spans="11:15" x14ac:dyDescent="0.55000000000000004">
      <c r="K132" s="20"/>
      <c r="L132" s="13"/>
      <c r="M132" s="13"/>
      <c r="N132" s="13"/>
      <c r="O132" s="13"/>
    </row>
    <row r="133" spans="11:15" x14ac:dyDescent="0.55000000000000004">
      <c r="K133" s="20"/>
      <c r="L133" s="13"/>
      <c r="M133" s="13"/>
      <c r="N133" s="13"/>
      <c r="O133" s="13"/>
    </row>
    <row r="134" spans="11:15" x14ac:dyDescent="0.55000000000000004">
      <c r="K134" s="20"/>
      <c r="L134" s="13"/>
      <c r="M134" s="13"/>
      <c r="N134" s="13"/>
      <c r="O134" s="13"/>
    </row>
    <row r="135" spans="11:15" x14ac:dyDescent="0.55000000000000004">
      <c r="K135" s="20"/>
      <c r="L135" s="13"/>
      <c r="M135" s="13"/>
      <c r="N135" s="13"/>
      <c r="O135" s="13"/>
    </row>
    <row r="136" spans="11:15" x14ac:dyDescent="0.55000000000000004">
      <c r="K136" s="20"/>
      <c r="L136" s="13"/>
      <c r="M136" s="13"/>
      <c r="N136" s="13"/>
      <c r="O136" s="13"/>
    </row>
    <row r="137" spans="11:15" x14ac:dyDescent="0.55000000000000004">
      <c r="K137" s="20"/>
      <c r="L137" s="13"/>
      <c r="M137" s="13"/>
      <c r="N137" s="13"/>
      <c r="O137" s="13"/>
    </row>
    <row r="138" spans="11:15" x14ac:dyDescent="0.55000000000000004">
      <c r="K138" s="20"/>
      <c r="L138" s="13"/>
      <c r="M138" s="13"/>
      <c r="N138" s="13"/>
      <c r="O138" s="13"/>
    </row>
    <row r="139" spans="11:15" x14ac:dyDescent="0.55000000000000004">
      <c r="K139" s="20"/>
      <c r="L139" s="13"/>
      <c r="M139" s="13"/>
      <c r="N139" s="13"/>
      <c r="O139" s="13"/>
    </row>
    <row r="140" spans="11:15" x14ac:dyDescent="0.55000000000000004">
      <c r="K140" s="20"/>
      <c r="L140" s="13"/>
      <c r="M140" s="13"/>
      <c r="N140" s="13"/>
      <c r="O140" s="13"/>
    </row>
    <row r="141" spans="11:15" x14ac:dyDescent="0.55000000000000004">
      <c r="K141" s="20"/>
      <c r="L141" s="13"/>
      <c r="M141" s="13"/>
      <c r="N141" s="13"/>
      <c r="O141" s="13"/>
    </row>
    <row r="142" spans="11:15" x14ac:dyDescent="0.55000000000000004">
      <c r="K142" s="20"/>
      <c r="L142" s="13"/>
      <c r="M142" s="13"/>
      <c r="N142" s="13"/>
      <c r="O142" s="13"/>
    </row>
    <row r="143" spans="11:15" x14ac:dyDescent="0.55000000000000004">
      <c r="K143" s="20"/>
      <c r="L143" s="13"/>
      <c r="M143" s="13"/>
      <c r="N143" s="13"/>
      <c r="O143" s="13"/>
    </row>
    <row r="144" spans="11:15" x14ac:dyDescent="0.55000000000000004">
      <c r="K144" s="20"/>
      <c r="L144" s="13"/>
      <c r="M144" s="13"/>
      <c r="N144" s="13"/>
      <c r="O144" s="13"/>
    </row>
    <row r="145" spans="11:15" x14ac:dyDescent="0.55000000000000004">
      <c r="K145" s="20"/>
      <c r="L145" s="13"/>
      <c r="M145" s="13"/>
      <c r="N145" s="13"/>
      <c r="O145" s="13"/>
    </row>
    <row r="146" spans="11:15" x14ac:dyDescent="0.55000000000000004">
      <c r="K146" s="20"/>
      <c r="L146" s="13"/>
      <c r="M146" s="13"/>
      <c r="N146" s="13"/>
      <c r="O146" s="13"/>
    </row>
    <row r="147" spans="11:15" x14ac:dyDescent="0.55000000000000004">
      <c r="K147" s="20"/>
      <c r="L147" s="13"/>
      <c r="M147" s="13"/>
      <c r="N147" s="13"/>
      <c r="O147" s="13"/>
    </row>
    <row r="148" spans="11:15" x14ac:dyDescent="0.55000000000000004">
      <c r="K148" s="20"/>
      <c r="L148" s="13"/>
      <c r="M148" s="13"/>
      <c r="N148" s="13"/>
      <c r="O148" s="13"/>
    </row>
    <row r="149" spans="11:15" x14ac:dyDescent="0.55000000000000004">
      <c r="K149" s="20"/>
      <c r="L149" s="13"/>
      <c r="M149" s="13"/>
      <c r="N149" s="13"/>
      <c r="O149" s="13"/>
    </row>
    <row r="150" spans="11:15" x14ac:dyDescent="0.55000000000000004">
      <c r="K150" s="20"/>
      <c r="L150" s="13"/>
      <c r="M150" s="13"/>
      <c r="N150" s="13"/>
      <c r="O150" s="13"/>
    </row>
    <row r="151" spans="11:15" x14ac:dyDescent="0.55000000000000004">
      <c r="K151" s="20"/>
      <c r="L151" s="13"/>
      <c r="M151" s="13"/>
      <c r="N151" s="13"/>
      <c r="O151" s="13"/>
    </row>
    <row r="152" spans="11:15" x14ac:dyDescent="0.55000000000000004">
      <c r="K152" s="20"/>
      <c r="L152" s="13"/>
      <c r="M152" s="13"/>
      <c r="N152" s="13"/>
      <c r="O152" s="13"/>
    </row>
    <row r="153" spans="11:15" x14ac:dyDescent="0.55000000000000004">
      <c r="K153" s="20"/>
      <c r="L153" s="13"/>
      <c r="M153" s="13"/>
      <c r="N153" s="13"/>
      <c r="O153" s="13"/>
    </row>
    <row r="154" spans="11:15" x14ac:dyDescent="0.55000000000000004">
      <c r="K154" s="20"/>
      <c r="L154" s="13"/>
      <c r="M154" s="13"/>
      <c r="N154" s="13"/>
      <c r="O154" s="13"/>
    </row>
    <row r="155" spans="11:15" x14ac:dyDescent="0.55000000000000004">
      <c r="K155" s="20"/>
      <c r="L155" s="13"/>
      <c r="M155" s="13"/>
      <c r="N155" s="13"/>
      <c r="O155" s="13"/>
    </row>
    <row r="156" spans="11:15" x14ac:dyDescent="0.55000000000000004">
      <c r="K156" s="20"/>
      <c r="L156" s="13"/>
      <c r="M156" s="13"/>
      <c r="N156" s="13"/>
      <c r="O156" s="13"/>
    </row>
    <row r="157" spans="11:15" x14ac:dyDescent="0.55000000000000004">
      <c r="K157" s="20"/>
      <c r="L157" s="13"/>
      <c r="M157" s="13"/>
      <c r="N157" s="13"/>
      <c r="O157" s="13"/>
    </row>
    <row r="158" spans="11:15" x14ac:dyDescent="0.55000000000000004">
      <c r="K158" s="20"/>
      <c r="L158" s="13"/>
      <c r="M158" s="13"/>
      <c r="N158" s="13"/>
      <c r="O158" s="13"/>
    </row>
    <row r="159" spans="11:15" x14ac:dyDescent="0.55000000000000004">
      <c r="K159" s="20"/>
      <c r="L159" s="13"/>
      <c r="M159" s="13"/>
      <c r="N159" s="13"/>
      <c r="O159" s="13"/>
    </row>
    <row r="160" spans="11:15" x14ac:dyDescent="0.55000000000000004">
      <c r="K160" s="20"/>
      <c r="L160" s="13"/>
      <c r="M160" s="13"/>
      <c r="N160" s="13"/>
      <c r="O160" s="13"/>
    </row>
    <row r="161" spans="11:15" x14ac:dyDescent="0.55000000000000004">
      <c r="K161" s="20"/>
      <c r="L161" s="13"/>
      <c r="M161" s="13"/>
      <c r="N161" s="13"/>
      <c r="O161" s="13"/>
    </row>
    <row r="162" spans="11:15" x14ac:dyDescent="0.55000000000000004">
      <c r="K162" s="20"/>
      <c r="L162" s="13"/>
      <c r="M162" s="13"/>
      <c r="N162" s="13"/>
      <c r="O162" s="13"/>
    </row>
    <row r="163" spans="11:15" x14ac:dyDescent="0.55000000000000004">
      <c r="K163" s="20"/>
      <c r="L163" s="13"/>
      <c r="M163" s="13"/>
      <c r="N163" s="13"/>
      <c r="O163" s="13"/>
    </row>
    <row r="164" spans="11:15" x14ac:dyDescent="0.55000000000000004">
      <c r="K164" s="20"/>
      <c r="L164" s="13"/>
      <c r="M164" s="13"/>
      <c r="N164" s="13"/>
      <c r="O164" s="13"/>
    </row>
    <row r="165" spans="11:15" x14ac:dyDescent="0.55000000000000004">
      <c r="K165" s="20"/>
      <c r="L165" s="13"/>
      <c r="M165" s="13"/>
      <c r="N165" s="13"/>
      <c r="O165" s="13"/>
    </row>
    <row r="166" spans="11:15" x14ac:dyDescent="0.55000000000000004">
      <c r="K166" s="20"/>
      <c r="L166" s="13"/>
      <c r="M166" s="13"/>
      <c r="N166" s="13"/>
      <c r="O166" s="13"/>
    </row>
    <row r="167" spans="11:15" x14ac:dyDescent="0.55000000000000004">
      <c r="K167" s="20"/>
      <c r="L167" s="13"/>
      <c r="M167" s="13"/>
      <c r="N167" s="13"/>
      <c r="O1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CSP</vt:lpstr>
      <vt:lpstr>Hydrogen</vt:lpstr>
      <vt:lpstr>Only Wind, PV, 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2023-03-31T02:32:34Z</dcterms:created>
  <dcterms:modified xsi:type="dcterms:W3CDTF">2023-05-27T03:11:45Z</dcterms:modified>
</cp:coreProperties>
</file>